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drentha\Documents\temp\"/>
    </mc:Choice>
  </mc:AlternateContent>
  <bookViews>
    <workbookView xWindow="28680" yWindow="-120" windowWidth="29040" windowHeight="1584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externalReferences>
    <externalReference r:id="rId7"/>
  </externalReferences>
  <definedNames>
    <definedName name="_xlnm.Print_Area" localSheetId="4">'All other expenses'!$A$1:$E$23</definedName>
    <definedName name="_xlnm.Print_Area" localSheetId="5">'Gifts and benefits'!$A$1:$F$67</definedName>
    <definedName name="_xlnm.Print_Area" localSheetId="0">'Guidance for agencies'!$A$1:$A$58</definedName>
    <definedName name="_xlnm.Print_Area" localSheetId="3">Hospitality!$A$1:$E$22</definedName>
    <definedName name="_xlnm.Print_Area" localSheetId="1">'Summary and sign-off'!$A$1:$F$23</definedName>
    <definedName name="_xlnm.Print_Area" localSheetId="2">Travel!$A$1:$E$103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2" i="1" l="1"/>
  <c r="B69" i="1" l="1"/>
  <c r="B25" i="1"/>
  <c r="B81" i="1" l="1"/>
  <c r="B61" i="1"/>
  <c r="B60" i="1"/>
  <c r="B54" i="1"/>
  <c r="B53" i="1"/>
  <c r="B52" i="1"/>
  <c r="B49" i="1"/>
  <c r="B12" i="1" l="1"/>
  <c r="B45" i="1" l="1"/>
  <c r="B43" i="1"/>
  <c r="B39" i="1"/>
  <c r="B35" i="1"/>
  <c r="B31" i="1"/>
  <c r="B41" i="1" l="1"/>
  <c r="B77" i="1" l="1"/>
  <c r="B76" i="1"/>
  <c r="B74" i="1"/>
  <c r="B73" i="1"/>
  <c r="B80" i="1" l="1"/>
  <c r="B44" i="1"/>
  <c r="B15" i="3"/>
  <c r="B79" i="1"/>
  <c r="B30" i="1"/>
  <c r="B32" i="1"/>
  <c r="B75" i="1"/>
  <c r="B34" i="1"/>
  <c r="B48" i="1"/>
  <c r="B47" i="1"/>
  <c r="B18" i="1"/>
  <c r="B40" i="1"/>
  <c r="B14" i="1"/>
  <c r="B78" i="1"/>
  <c r="B38" i="1"/>
  <c r="B37" i="1"/>
  <c r="C92" i="1" l="1"/>
  <c r="C69" i="1"/>
  <c r="D56" i="4" l="1"/>
  <c r="C17" i="3"/>
  <c r="C15" i="2"/>
  <c r="C25" i="1"/>
  <c r="B6" i="13" l="1"/>
  <c r="E59" i="13"/>
  <c r="C59" i="13"/>
  <c r="C58" i="4"/>
  <c r="C57" i="4"/>
  <c r="B59" i="13" l="1"/>
  <c r="B58" i="13"/>
  <c r="D58" i="13"/>
  <c r="B57" i="13"/>
  <c r="D57" i="13"/>
  <c r="D56" i="13"/>
  <c r="B56" i="13"/>
  <c r="D55" i="13"/>
  <c r="B55" i="13"/>
  <c r="D54" i="13"/>
  <c r="B54" i="13"/>
  <c r="B2" i="4"/>
  <c r="B3" i="4"/>
  <c r="B2" i="3"/>
  <c r="B3" i="3"/>
  <c r="B2" i="2"/>
  <c r="B3" i="2"/>
  <c r="B2" i="1"/>
  <c r="B3" i="1"/>
  <c r="F57" i="13" l="1"/>
  <c r="D15" i="2" s="1"/>
  <c r="F59" i="13"/>
  <c r="E56" i="4" s="1"/>
  <c r="F58" i="13"/>
  <c r="D17" i="3" s="1"/>
  <c r="F56" i="13"/>
  <c r="D92" i="1" s="1"/>
  <c r="F55" i="13"/>
  <c r="D69" i="1" s="1"/>
  <c r="F54" i="13"/>
  <c r="D25" i="1" s="1"/>
  <c r="C16" i="13" l="1"/>
  <c r="C17" i="13"/>
  <c r="B5" i="4" l="1"/>
  <c r="B4" i="4"/>
  <c r="B5" i="3"/>
  <c r="B4" i="3"/>
  <c r="B5" i="2"/>
  <c r="B4" i="2"/>
  <c r="B5" i="1"/>
  <c r="B4" i="1"/>
  <c r="C15" i="13" l="1"/>
  <c r="F12" i="13" l="1"/>
  <c r="C56" i="4"/>
  <c r="F11" i="13" s="1"/>
  <c r="F13" i="13" l="1"/>
  <c r="B17" i="13"/>
  <c r="B16" i="13"/>
  <c r="B15" i="13"/>
  <c r="B17" i="3" l="1"/>
  <c r="B13" i="13" s="1"/>
  <c r="B15" i="2"/>
  <c r="B12" i="13" s="1"/>
  <c r="B11" i="13" l="1"/>
  <c r="B94" i="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8" authorId="0" shapeId="0">
      <text>
        <r>
          <rPr>
            <sz val="9"/>
            <color indexed="81"/>
            <rFont val="Tahoma"/>
            <family val="2"/>
          </rPr>
          <t xml:space="preserve">
Insert additional rows as needed:
- 'right click' on a row number (left of screen)
- select 'Insert' (this will insert a row above it)
</t>
        </r>
      </text>
    </comment>
    <comment ref="A72"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<sst xmlns="http://schemas.openxmlformats.org/spreadsheetml/2006/main" count="747" uniqueCount="410">
  <si>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</si>
  <si>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</si>
  <si>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</si>
  <si>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</si>
  <si>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</si>
  <si>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</si>
  <si>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</si>
  <si>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</si>
  <si>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</si>
  <si>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</si>
  <si>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</si>
  <si>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</si>
  <si>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</si>
  <si>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</si>
  <si>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</si>
  <si>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</si>
  <si>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</si>
  <si>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</si>
  <si>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</si>
  <si>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</si>
  <si>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</si>
  <si>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</si>
  <si>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</si>
  <si>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</si>
  <si>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</si>
  <si>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</si>
  <si>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</si>
  <si>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</si>
  <si>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</si>
  <si>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</si>
  <si>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</si>
  <si>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</si>
  <si>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</si>
  <si>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</si>
  <si>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</si>
  <si>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</si>
  <si>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</si>
  <si>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</si>
  <si>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</si>
  <si>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</si>
  <si>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</si>
  <si>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</si>
  <si>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</si>
  <si>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</si>
  <si>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</si>
  <si>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</si>
  <si>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</si>
  <si>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</si>
  <si>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</si>
  <si>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</si>
  <si>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</si>
  <si>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</si>
  <si>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</si>
  <si>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</si>
  <si>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</si>
  <si>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</si>
  <si>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</si>
  <si>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</si>
  <si>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</si>
  <si>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</si>
  <si>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</si>
  <si>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</si>
  <si>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</si>
  <si>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</si>
  <si>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</si>
  <si>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</si>
  <si>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</si>
  <si>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</si>
  <si>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</si>
  <si>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</si>
  <si>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</si>
  <si>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</si>
  <si>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</si>
  <si>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</si>
  <si>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</si>
  <si>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</si>
  <si>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</si>
  <si>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</si>
  <si>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</si>
  <si>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</si>
  <si>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</si>
  <si>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</si>
  <si>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</si>
  <si>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</si>
  <si>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</si>
  <si>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</si>
  <si>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</si>
  <si>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</si>
  <si>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</si>
  <si>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</si>
  <si>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</si>
  <si>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</si>
  <si>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</si>
  <si>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</si>
  <si>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</si>
  <si>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</si>
  <si>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</si>
  <si>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</si>
  <si>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</si>
  <si>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</si>
  <si>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</si>
  <si>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</si>
  <si>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</si>
  <si>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</si>
  <si>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</si>
  <si>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</si>
  <si>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</si>
  <si>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</si>
  <si>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</si>
  <si>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</si>
  <si>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</si>
  <si>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</si>
  <si>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</si>
  <si>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</si>
  <si>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</si>
  <si>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</si>
  <si>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</si>
  <si>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</si>
  <si>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</si>
  <si>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</si>
  <si>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</si>
  <si>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</si>
  <si>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</si>
  <si>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</si>
  <si>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</si>
  <si>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</si>
  <si>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</si>
  <si>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</si>
  <si>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</si>
  <si>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</si>
  <si>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</si>
  <si>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</si>
  <si>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</si>
  <si>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</si>
  <si>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</si>
  <si>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</si>
  <si>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</si>
  <si>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</si>
  <si>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</si>
  <si>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</si>
  <si>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</si>
  <si>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</si>
  <si>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</si>
  <si>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</si>
  <si>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</si>
  <si>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</si>
  <si>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</si>
  <si>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</si>
  <si>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</si>
  <si>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</si>
  <si>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</si>
  <si>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</si>
  <si>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</si>
  <si>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</si>
  <si>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</si>
  <si>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</si>
  <si>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</si>
  <si>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</si>
  <si>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</si>
  <si>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</si>
  <si>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</si>
  <si>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</si>
  <si>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</si>
  <si>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</si>
  <si>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</si>
  <si>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</si>
  <si>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</si>
  <si>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</si>
  <si>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PHARMAC</t>
  </si>
  <si>
    <t>Sarah Fitt</t>
  </si>
  <si>
    <t>Canberra, Australia</t>
  </si>
  <si>
    <t>13.11.2018</t>
  </si>
  <si>
    <t>Attending Vancouver Group meeting 3 days</t>
  </si>
  <si>
    <t>Taxi</t>
  </si>
  <si>
    <t>Airfares</t>
  </si>
  <si>
    <t>04.07.2018</t>
  </si>
  <si>
    <t>09.07.2018</t>
  </si>
  <si>
    <t>17.07.2018</t>
  </si>
  <si>
    <t>18.07.2018</t>
  </si>
  <si>
    <t>16.11.2018</t>
  </si>
  <si>
    <t>22.11.2018</t>
  </si>
  <si>
    <t>23.11.2018</t>
  </si>
  <si>
    <t>27.11.2018</t>
  </si>
  <si>
    <t>06.12.2018</t>
  </si>
  <si>
    <t>Wellington</t>
  </si>
  <si>
    <t>Auckland</t>
  </si>
  <si>
    <t>05.07.2018</t>
  </si>
  <si>
    <t>15.08.2018</t>
  </si>
  <si>
    <t>Nelson</t>
  </si>
  <si>
    <t>24.10.2018</t>
  </si>
  <si>
    <t>Christchurch</t>
  </si>
  <si>
    <t>16.10.2018</t>
  </si>
  <si>
    <t>17.11.2018</t>
  </si>
  <si>
    <t>07.12.2018</t>
  </si>
  <si>
    <t>14.08.2018</t>
  </si>
  <si>
    <t>Coaching</t>
  </si>
  <si>
    <t>New Zealand</t>
  </si>
  <si>
    <t>02.11.2018</t>
  </si>
  <si>
    <t>Flights</t>
  </si>
  <si>
    <t>3 nights accommodation</t>
  </si>
  <si>
    <t xml:space="preserve">Meeting with the Director General of Health at Ministry of Health </t>
  </si>
  <si>
    <t>Meeting with Nelson Marlborough DHB Chief Executive</t>
  </si>
  <si>
    <t>To Wellington Airport</t>
  </si>
  <si>
    <t>From Wellington Airport</t>
  </si>
  <si>
    <t>Meeting with Canterbury DHB CE and Chair</t>
  </si>
  <si>
    <t>21.09.2018</t>
  </si>
  <si>
    <t xml:space="preserve">Canberra, Australia </t>
  </si>
  <si>
    <t>ACT Cab AUD $27.41 @ 0.9330 - Taxi</t>
  </si>
  <si>
    <t>ACT Cab AUD $26.49 @ 0.9330 - Taxi</t>
  </si>
  <si>
    <t>Professional Development</t>
  </si>
  <si>
    <t>Meeting with Ministry of Health staff</t>
  </si>
  <si>
    <t>Meeting with Auckland DHB Chair and Chief Executive and meeting with Auckland DHB Pharmacy staff</t>
  </si>
  <si>
    <t>University of Otago - 2019 Cancer Care Conference - Daily Registration (31 January)</t>
  </si>
  <si>
    <t>Conference fee</t>
  </si>
  <si>
    <t>UBC International Summit on Orphan Drug Reimbursement, Pricing and Policy</t>
  </si>
  <si>
    <t>Calgary, Canada</t>
  </si>
  <si>
    <t>Travel cancellation fee - conference postponed to March 2019</t>
  </si>
  <si>
    <t>Presenting to Southern Cross Health Society Board</t>
  </si>
  <si>
    <t>Presenting to MTANZ Board and Meeting with Counties Manukau DHB</t>
  </si>
  <si>
    <t>Airport Parking</t>
  </si>
  <si>
    <t>Meeting with Medsafe at Ministry of Health</t>
  </si>
  <si>
    <t>Meeting with Michael Woodhouse, National MP at Parliament</t>
  </si>
  <si>
    <t>Meeting with the Minister of Health</t>
  </si>
  <si>
    <t>12.11.2018</t>
  </si>
  <si>
    <t>TZ Medical exhibiting @ Medica Trade Fair in Dusseldorf, Germany.  Invitation to "drop by their booth" as co-exhibitor of US Dept of Commerce</t>
  </si>
  <si>
    <t>Wayne Vaincourt
BDM, TZ Medical Inc USA</t>
  </si>
  <si>
    <t>17.10.2018</t>
  </si>
  <si>
    <t>Health Research Council of NZ - Honours dinner invitation</t>
  </si>
  <si>
    <t>Dr Lester Levy, Chair and Prof Kathryn McPherson
Health Research Council of NZ</t>
  </si>
  <si>
    <t>29.10.2018</t>
  </si>
  <si>
    <t>Dr Nick Kendall
Manager Treatment Safety, ACC</t>
  </si>
  <si>
    <t>ACC Risk of Harm Reporting workshop</t>
  </si>
  <si>
    <t>20.09.2018</t>
  </si>
  <si>
    <t>NZ Nurses Organisation Conference</t>
  </si>
  <si>
    <t>Memo Musa
Chief Executive</t>
  </si>
  <si>
    <t>Alison Hill represented Pharmac</t>
  </si>
  <si>
    <t>12.12.2018</t>
  </si>
  <si>
    <t>Myeloma New Zealand Christmas Function</t>
  </si>
  <si>
    <t>Ken Romeril
CEO Myeloma NZ Charitable Trust</t>
  </si>
  <si>
    <t>29.11.2018</t>
  </si>
  <si>
    <t>Tu Ora Compass Health AGM and networking function</t>
  </si>
  <si>
    <t>Fiona Shand
Governance &amp; Accountabilities Officer, Compass Health</t>
  </si>
  <si>
    <t>15.11.2018</t>
  </si>
  <si>
    <t>Dr Ashley Bloomfield, DG, MOH</t>
  </si>
  <si>
    <t>Atene Andrews attended - Sarah received initial advice.  
All costs were covered by MOH</t>
  </si>
  <si>
    <t>Child &amp; Youth Wellbeing Strategy engagement hui (Atene Andrews)</t>
  </si>
  <si>
    <t>30.11.2018</t>
  </si>
  <si>
    <t>Inside Recruitment Christmas Breakfast</t>
  </si>
  <si>
    <t>Troy Turner
Managing Partner
Inside Recruitment</t>
  </si>
  <si>
    <t>12.09.2018</t>
  </si>
  <si>
    <t>Launch of the Federation of Primary Health Aotearoa</t>
  </si>
  <si>
    <t>Dame Annette King</t>
  </si>
  <si>
    <t>27.09.2018</t>
  </si>
  <si>
    <t>Air New Zealand WOW event</t>
  </si>
  <si>
    <t>Jeffrey Crosby
Account Manager, Air NZ</t>
  </si>
  <si>
    <t>03.09.2018</t>
  </si>
  <si>
    <t>NZ Post - Lynda Gratton Masterclass</t>
  </si>
  <si>
    <t>Raewyn Pointon
Leadership Development Centre</t>
  </si>
  <si>
    <t>14.11.2018</t>
  </si>
  <si>
    <t>AskYourTeam</t>
  </si>
  <si>
    <t>AskYourTeam Christmas event</t>
  </si>
  <si>
    <t>02.11.2018-03.11.2018</t>
  </si>
  <si>
    <t>2018 NZ Melanoma Summit</t>
  </si>
  <si>
    <t>Gary Duncan &amp; Dr Chris Boberg
Co-chairs of MelNet Exec Committee</t>
  </si>
  <si>
    <t>19.09.2018</t>
  </si>
  <si>
    <t>PSNZ Annual Spring Stakeholder Function</t>
  </si>
  <si>
    <t>National Executive</t>
  </si>
  <si>
    <t>01.10.2018</t>
  </si>
  <si>
    <t>Age Concern NZ - International Day of Older Persons</t>
  </si>
  <si>
    <t>Stephanie Clare</t>
  </si>
  <si>
    <t>David Kibblewhite
President</t>
  </si>
  <si>
    <t>NZ Society of Anaesthetists - biennial cocktail function</t>
  </si>
  <si>
    <t>31.07.2018</t>
  </si>
  <si>
    <t>NZ Blood Service - celebrating 20 years</t>
  </si>
  <si>
    <t>Sam Cliffe, Chief Executive</t>
  </si>
  <si>
    <t>02.07.2018</t>
  </si>
  <si>
    <t>Protocol Office, US Embassy</t>
  </si>
  <si>
    <t>US Independence Day celebration</t>
  </si>
  <si>
    <t>27.07.2018</t>
  </si>
  <si>
    <t>Hepatitis C Summit 2019</t>
  </si>
  <si>
    <t>Andrew Tompkin, GM, AbbVie</t>
  </si>
  <si>
    <t>Lisa Williams also invited</t>
  </si>
  <si>
    <t>28.07.2018</t>
  </si>
  <si>
    <t>Pharmacy Awards 2018</t>
  </si>
  <si>
    <t>Richard Townley, CEO, Pharmaceutical Society</t>
  </si>
  <si>
    <t>08.08.2018</t>
  </si>
  <si>
    <t>Medicines New Zealand Parliamentary Dinner</t>
  </si>
  <si>
    <t>Dr Lee Mathias, Chairman</t>
  </si>
  <si>
    <t>04.12.2018</t>
  </si>
  <si>
    <t>Pharmacy Guild of New Zealand Christmas drinks</t>
  </si>
  <si>
    <t>Andrew Gaudin, Chief Executive</t>
  </si>
  <si>
    <t>05.12.2018</t>
  </si>
  <si>
    <t>NZ Medical Association Christmas cocktail function</t>
  </si>
  <si>
    <t>Chair and Board Members</t>
  </si>
  <si>
    <t>28.11.2018</t>
  </si>
  <si>
    <t>Assn of Salaried Medical Specialists 30th Annual Conference - pre conference function</t>
  </si>
  <si>
    <t>ASMS</t>
  </si>
  <si>
    <t>19.10.2018</t>
  </si>
  <si>
    <t>Celebrating 20 years of liver transplanation in NZ</t>
  </si>
  <si>
    <t>NZLTU organising committee</t>
  </si>
  <si>
    <t>EY Breakfast Event - share insights with EY Advisory Leadership</t>
  </si>
  <si>
    <t>Stephen McKernan, EY Partner</t>
  </si>
  <si>
    <t>50 years of Cystic Fibrosis NZ event</t>
  </si>
  <si>
    <t>Rt Hon Dame Patsy Reddy</t>
  </si>
  <si>
    <t>09.11.2018</t>
  </si>
  <si>
    <t>MBIE - GEN 2018 Annual Conference - "Improving People's Lives through Effective Policy"</t>
  </si>
  <si>
    <t>Veronica Jacobsen, Director</t>
  </si>
  <si>
    <t>UBC Conference Canada</t>
  </si>
  <si>
    <t>to Wellington Airport</t>
  </si>
  <si>
    <t>Vancouver</t>
  </si>
  <si>
    <t>08.03.2019</t>
  </si>
  <si>
    <t>13.03.2019</t>
  </si>
  <si>
    <t>15.03.2019</t>
  </si>
  <si>
    <t>17.03.2019</t>
  </si>
  <si>
    <t>Attending a meeting with ADHB</t>
  </si>
  <si>
    <t xml:space="preserve">Auckland </t>
  </si>
  <si>
    <t>Auckland Starship Hospital</t>
  </si>
  <si>
    <t>Auckland Airport</t>
  </si>
  <si>
    <t>Wellington Airport Parking</t>
  </si>
  <si>
    <t>Wellington Airport</t>
  </si>
  <si>
    <t>Presenting at a conference with LDNZ</t>
  </si>
  <si>
    <t>Accomodation</t>
  </si>
  <si>
    <t>Q+A Interview</t>
  </si>
  <si>
    <t xml:space="preserve">City to Auckland Airport </t>
  </si>
  <si>
    <t>Presenting at iFHP conference</t>
  </si>
  <si>
    <t xml:space="preserve">Taxi    </t>
  </si>
  <si>
    <t>Auckland Airport to City</t>
  </si>
  <si>
    <t>Attendance at Supplier Forum Medical Device Consultation</t>
  </si>
  <si>
    <t>25.01.2019</t>
  </si>
  <si>
    <t>15.02.2019</t>
  </si>
  <si>
    <t>25.03.2019</t>
  </si>
  <si>
    <t>29.03.2019</t>
  </si>
  <si>
    <t>28.05.2019</t>
  </si>
  <si>
    <t>TRAM Meeting</t>
  </si>
  <si>
    <t>Molesworth Street</t>
  </si>
  <si>
    <t xml:space="preserve">Mercer Street </t>
  </si>
  <si>
    <t>DHB Strategic Partnership Group Meeting</t>
  </si>
  <si>
    <t>30.04.2019</t>
  </si>
  <si>
    <t>Meeting with Minister - PHARMAC to Parliament</t>
  </si>
  <si>
    <t>Bowen Street</t>
  </si>
  <si>
    <t>Meeting with Minister - Parliament to PHARMAC</t>
  </si>
  <si>
    <t>Supplier Forum Medical Device Consultation in Auckland</t>
  </si>
  <si>
    <t>Home to Wgn Airport</t>
  </si>
  <si>
    <t>Akld Airport to Ellerslie</t>
  </si>
  <si>
    <t>29.05.2019</t>
  </si>
  <si>
    <t>Ellerslie to Akld Airport</t>
  </si>
  <si>
    <t>11.06.2019</t>
  </si>
  <si>
    <t>CNFMD - PHARMAC visit to GMRI lab with Board Chair</t>
  </si>
  <si>
    <t>To Newtown</t>
  </si>
  <si>
    <t>Newtown to Mercer St</t>
  </si>
  <si>
    <t>20.06.2019</t>
  </si>
  <si>
    <t>Meeting with Ministers Office - PHARMAC to Parliament</t>
  </si>
  <si>
    <t>05.02.2019</t>
  </si>
  <si>
    <t>28.03.2019</t>
  </si>
  <si>
    <t>29.01.2019</t>
  </si>
  <si>
    <t>Pacific Pharmacists Assn Formal Launch Event</t>
  </si>
  <si>
    <t>Pacific Pharmacists Assn</t>
  </si>
  <si>
    <t>2x events - dinner 22/03 + booth @ Pasifika Festival on 23 and 24/03</t>
  </si>
  <si>
    <t>12-13.03.2019</t>
  </si>
  <si>
    <t>Workshop on Medicines Price Negotiation in the Western Pacific Region, Manila, Phillippines</t>
  </si>
  <si>
    <t>WHO/Ministry of Health, NZ</t>
  </si>
  <si>
    <t>01.05.2019</t>
  </si>
  <si>
    <t>WHO Informal Stakeholders meeting - Geneva, Switzerland</t>
  </si>
  <si>
    <t>World Health Organisation</t>
  </si>
  <si>
    <t>06.05.2019</t>
  </si>
  <si>
    <t>Piki Youth Mental Health Initiative launch - second stage</t>
  </si>
  <si>
    <t>Victoria University, Vice-Chancellor Prof Grant Guilford</t>
  </si>
  <si>
    <t>09.05.2019</t>
  </si>
  <si>
    <t>Radiation Oncology Horizon Summit 2019</t>
  </si>
  <si>
    <t>Hon Dr David Clark</t>
  </si>
  <si>
    <t>Board Chair and Alison Hill also declined</t>
  </si>
  <si>
    <t>Women at Bell Gully - Exclusive visit to Aesop</t>
  </si>
  <si>
    <t>Bell Gully Events</t>
  </si>
  <si>
    <t>19.06.2019</t>
  </si>
  <si>
    <t>Celebrating Matariki 2019</t>
  </si>
  <si>
    <t>Toputanga Tapuhi Kaitiaki o Aotearoa (NZ Nurses Assn)</t>
  </si>
  <si>
    <t>26.06.2019</t>
  </si>
  <si>
    <t>Parliamentary Breakfast - Managing Multiple Myeloma in NZ - the Way Forward</t>
  </si>
  <si>
    <t>Liz Craig, MP</t>
  </si>
  <si>
    <t>26.6.2019</t>
  </si>
  <si>
    <t>Parliamentary Dinner - Sir Andrew Dillon guest speaker</t>
  </si>
  <si>
    <t>Medicines New Zealand on behalf of Minister of Health</t>
  </si>
  <si>
    <t>Board Chair also invited and attended</t>
  </si>
  <si>
    <t>27.06.2019</t>
  </si>
  <si>
    <t>Breakfast with the British High Commissioner</t>
  </si>
  <si>
    <t xml:space="preserve">Bell Gully Women Leaders' Series Event </t>
  </si>
  <si>
    <t>30 year celebration - Assn of Salaried Medical Specialists</t>
  </si>
  <si>
    <t>Assn of Salaried Medical Specialists</t>
  </si>
  <si>
    <t>Hosting Sir Andrew Dillon, NICE organisation (UK) / information sharing</t>
  </si>
  <si>
    <t>Afternoon tea for 15 staff including Senior Leadership Team</t>
  </si>
  <si>
    <t>PHARMAC offices, Wellington</t>
  </si>
  <si>
    <t>Sir Andrew Dillon, NICE organisation (UK)</t>
  </si>
  <si>
    <t>Thank you gift</t>
  </si>
  <si>
    <t>13.03.2019-15.03.2019</t>
  </si>
  <si>
    <t>UBC Conference - Canada</t>
  </si>
  <si>
    <t>Required international travel</t>
  </si>
  <si>
    <t xml:space="preserve">Accommodation paid by organisers - Sarah Fitt - guest speaker </t>
  </si>
  <si>
    <t>Travel paid by organisers - Sarah Fitt - guest speaker</t>
  </si>
  <si>
    <t>University of British Columbia</t>
  </si>
  <si>
    <t>Figures include GST</t>
  </si>
  <si>
    <t>31.01.2019</t>
  </si>
  <si>
    <t>Cancer Care at a Crossroads Conference 2019</t>
  </si>
  <si>
    <t>University of Otago</t>
  </si>
  <si>
    <t>Auckland event</t>
  </si>
  <si>
    <t>04.10.2018</t>
  </si>
  <si>
    <t>Polynesia-NZ Health Dialogue</t>
  </si>
  <si>
    <t>MFAT</t>
  </si>
  <si>
    <t>Wgn Airport to Home</t>
  </si>
  <si>
    <t>18.06.2016</t>
  </si>
  <si>
    <t>Board Chair approved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</si>
</sst>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9"/>
      <color theme="1"/>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8">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40">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0" fillId="7" borderId="0" xfId="0" applyFont="1" applyFill="1" applyAlignment="1">
      <alignment horizontal="left" vertical="center" wrapText="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0" fillId="7" borderId="0" xfId="0" applyFont="1" applyFill="1" applyAlignment="1">
      <alignment vertical="center"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Alignment="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lignment horizontal="justify" vertical="center"/>
    </xf>
    <xf numFmtId="0" fontId="11" fillId="0" borderId="0" xfId="0" applyFont="1" applyAlignment="1">
      <alignment horizontal="left" vertical="center" wrapText="1"/>
    </xf>
    <xf numFmtId="0" fontId="12" fillId="0" borderId="0" xfId="1" applyFont="1" applyAlignment="1">
      <alignment vertical="center"/>
    </xf>
    <xf numFmtId="0" fontId="12" fillId="0" borderId="0" xfId="1" applyFont="1" applyAlignment="1">
      <alignment horizontal="justify" vertical="center"/>
    </xf>
    <xf numFmtId="0" fontId="11" fillId="9" borderId="0" xfId="1" applyFont="1" applyFill="1" applyAlignment="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19" fillId="7" borderId="0" xfId="0" applyFont="1" applyFill="1" applyAlignment="1">
      <alignment horizontal="left" vertical="center" readingOrder="1"/>
    </xf>
    <xf numFmtId="166" fontId="19" fillId="7" borderId="0" xfId="0" applyNumberFormat="1" applyFont="1" applyFill="1" applyAlignment="1">
      <alignment horizontal="left" vertical="center" wrapText="1"/>
    </xf>
    <xf numFmtId="1" fontId="19" fillId="7" borderId="0" xfId="0" applyNumberFormat="1" applyFont="1" applyFill="1" applyAlignment="1">
      <alignment horizontal="center" vertical="center" wrapText="1"/>
    </xf>
    <xf numFmtId="0" fontId="33"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Border="1" applyAlignment="1">
      <alignment vertical="center" wrapText="1" readingOrder="1"/>
    </xf>
    <xf numFmtId="164" fontId="21" fillId="0" borderId="0" xfId="2" applyNumberFormat="1" applyFont="1" applyAlignment="1">
      <alignment vertical="center" wrapText="1" readingOrder="1"/>
    </xf>
    <xf numFmtId="164" fontId="31" fillId="0" borderId="4" xfId="2" applyNumberFormat="1" applyFont="1" applyBorder="1" applyAlignment="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5" fillId="0" borderId="5" xfId="2" applyNumberFormat="1" applyFont="1" applyBorder="1" applyAlignment="1">
      <alignment horizontal="center" vertical="center" wrapText="1" readingOrder="1"/>
    </xf>
    <xf numFmtId="0" fontId="15" fillId="0" borderId="0" xfId="2" applyNumberFormat="1" applyFont="1" applyAlignment="1">
      <alignment horizontal="center" vertical="center" wrapText="1" readingOrder="1"/>
    </xf>
    <xf numFmtId="0" fontId="32" fillId="0" borderId="5" xfId="2" applyNumberFormat="1" applyFont="1" applyBorder="1" applyAlignment="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lignment horizontal="center" vertical="center" wrapText="1"/>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ill="1" applyBorder="1" applyAlignment="1" applyProtection="1">
      <alignment horizontal="left" vertical="center" wrapText="1"/>
      <protection locked="0"/>
    </xf>
    <xf numFmtId="0" fontId="0" fillId="10" borderId="5" xfId="0" applyFill="1" applyBorder="1" applyAlignment="1" applyProtection="1">
      <alignment horizontal="left" vertical="center" wrapText="1"/>
      <protection locked="0"/>
    </xf>
    <xf numFmtId="0" fontId="20" fillId="0" borderId="0" xfId="0" applyFont="1" applyAlignment="1">
      <alignment horizontal="center" wrapText="1"/>
    </xf>
    <xf numFmtId="0" fontId="15" fillId="10" borderId="4" xfId="0" applyFont="1" applyFill="1" applyBorder="1" applyAlignment="1" applyProtection="1">
      <alignment horizontal="left" vertical="center" wrapText="1"/>
      <protection locked="0"/>
    </xf>
    <xf numFmtId="0" fontId="35"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35" fillId="3" borderId="0" xfId="0" applyFont="1" applyFill="1" applyAlignment="1">
      <alignment horizontal="center" vertical="center" wrapText="1"/>
    </xf>
    <xf numFmtId="166" fontId="35" fillId="7" borderId="0" xfId="0" applyNumberFormat="1" applyFont="1" applyFill="1" applyAlignment="1">
      <alignment horizontal="center" vertical="center" wrapText="1"/>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Alignment="1">
      <alignment horizontal="center" vertical="center" wrapText="1" readingOrder="1"/>
    </xf>
    <xf numFmtId="165" fontId="18" fillId="0" borderId="0" xfId="2" applyFont="1" applyAlignment="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Alignment="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lignment vertical="center" wrapText="1"/>
    </xf>
    <xf numFmtId="164" fontId="0" fillId="0" borderId="0" xfId="0" applyNumberFormat="1" applyAlignment="1" applyProtection="1">
      <alignment wrapText="1"/>
      <protection locked="0"/>
    </xf>
    <xf numFmtId="0" fontId="15" fillId="10" borderId="4" xfId="0" applyFont="1" applyFill="1" applyBorder="1" applyAlignment="1">
      <alignment vertical="center" wrapText="1"/>
    </xf>
    <xf numFmtId="15" fontId="15" fillId="10" borderId="4" xfId="0" applyNumberFormat="1" applyFont="1" applyFill="1" applyBorder="1" applyAlignment="1" applyProtection="1">
      <alignment vertical="center" wrapText="1"/>
      <protection locked="0"/>
    </xf>
    <xf numFmtId="0" fontId="36" fillId="10" borderId="5" xfId="0" applyFont="1" applyFill="1" applyBorder="1" applyAlignment="1" applyProtection="1">
      <alignment horizontal="left" vertical="center" wrapText="1"/>
      <protection locked="0"/>
    </xf>
    <xf numFmtId="0" fontId="15" fillId="0" borderId="0" xfId="0" applyFont="1" applyAlignment="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lignment horizontal="left" vertical="center"/>
    </xf>
    <xf numFmtId="0" fontId="22" fillId="2" borderId="0" xfId="0" applyFont="1" applyFill="1" applyAlignment="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0" fontId="35" fillId="3" borderId="6" xfId="0" applyFont="1" applyFill="1" applyBorder="1" applyAlignment="1">
      <alignment horizontal="center" vertical="center" wrapText="1"/>
    </xf>
    <xf numFmtId="167" fontId="13" fillId="0" borderId="2" xfId="0" applyNumberFormat="1" applyFont="1" applyBorder="1" applyAlignment="1">
      <alignment horizontal="left" vertical="center" wrapText="1" readingOrder="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3" fillId="0" borderId="0" xfId="0" applyFont="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35" fillId="3" borderId="0" xfId="0" applyFont="1" applyFill="1" applyAlignment="1">
      <alignment horizontal="center" vertical="center" wrapText="1"/>
    </xf>
    <xf numFmtId="0" fontId="20" fillId="3" borderId="0" xfId="0" applyFont="1" applyFill="1" applyAlignment="1">
      <alignment horizontal="center" vertical="center" wrapText="1" readingOrder="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35" fillId="7" borderId="0" xfId="0" applyFont="1" applyFill="1" applyAlignment="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llacej/Objective/objective-8008-wallacej/Objects/2019-02-20%20CE%20Expenses%201%20January%20-%2030%20Jun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for agencies"/>
      <sheetName val="Summary and sign-off"/>
      <sheetName val="Travel"/>
      <sheetName val="Hospitality"/>
      <sheetName val="All other expenses"/>
      <sheetName val="Gifts and benefit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61"/>
  <sheetViews>
    <sheetView tabSelected="1" topLeftCell="A37" zoomScale="85" zoomScaleNormal="85" workbookViewId="0">
      <selection activeCell="A41" sqref="A41"/>
    </sheetView>
  </sheetViews>
  <sheetFormatPr defaultColWidth="0" defaultRowHeight="14.25" zeroHeight="1" x14ac:dyDescent="0.2"/>
  <cols>
    <col min="1" max="1" width="219.28515625" style="43" customWidth="1"/>
    <col min="2" max="2" width="33.28515625" style="42" customWidth="1"/>
    <col min="3" max="16384" width="8.7109375" hidden="1"/>
  </cols>
  <sheetData>
    <row r="1" spans="1:2" ht="23.25" customHeight="1" x14ac:dyDescent="0.2">
      <c r="A1" s="41" t="s">
        <v>86</v>
      </c>
    </row>
    <row r="2" spans="1:2" ht="33" customHeight="1" x14ac:dyDescent="0.2">
      <c r="A2" s="113" t="s">
        <v>119</v>
      </c>
    </row>
    <row r="3" spans="1:2" ht="17.25" customHeight="1" x14ac:dyDescent="0.2"/>
    <row r="4" spans="1:2" ht="23.25" customHeight="1" x14ac:dyDescent="0.2">
      <c r="A4" s="79" t="s">
        <v>124</v>
      </c>
    </row>
    <row r="5" spans="1:2" ht="17.25" customHeight="1" x14ac:dyDescent="0.2"/>
    <row r="6" spans="1:2" ht="23.25" customHeight="1" x14ac:dyDescent="0.2">
      <c r="A6" s="44" t="s">
        <v>14</v>
      </c>
    </row>
    <row r="7" spans="1:2" ht="17.25" customHeight="1" x14ac:dyDescent="0.2">
      <c r="A7" s="45" t="s">
        <v>16</v>
      </c>
    </row>
    <row r="8" spans="1:2" ht="17.25" customHeight="1" x14ac:dyDescent="0.2">
      <c r="A8" s="45" t="s">
        <v>90</v>
      </c>
    </row>
    <row r="9" spans="1:2" ht="17.25" customHeight="1" x14ac:dyDescent="0.2">
      <c r="A9" s="45"/>
    </row>
    <row r="10" spans="1:2" ht="23.25" customHeight="1" x14ac:dyDescent="0.2">
      <c r="A10" s="44" t="s">
        <v>17</v>
      </c>
      <c r="B10" s="85" t="s">
        <v>128</v>
      </c>
    </row>
    <row r="11" spans="1:2" ht="17.25" customHeight="1" x14ac:dyDescent="0.2">
      <c r="A11" s="46" t="s">
        <v>27</v>
      </c>
    </row>
    <row r="12" spans="1:2" ht="17.25" customHeight="1" x14ac:dyDescent="0.2">
      <c r="A12" s="45" t="s">
        <v>18</v>
      </c>
    </row>
    <row r="13" spans="1:2" ht="17.25" customHeight="1" x14ac:dyDescent="0.2">
      <c r="A13" s="45" t="s">
        <v>19</v>
      </c>
    </row>
    <row r="14" spans="1:2" ht="17.25" customHeight="1" x14ac:dyDescent="0.2">
      <c r="A14" s="47" t="s">
        <v>20</v>
      </c>
    </row>
    <row r="15" spans="1:2" ht="17.25" customHeight="1" x14ac:dyDescent="0.2">
      <c r="A15" s="45" t="s">
        <v>21</v>
      </c>
    </row>
    <row r="16" spans="1:2" ht="17.25" customHeight="1" x14ac:dyDescent="0.2">
      <c r="A16" s="45"/>
    </row>
    <row r="17" spans="1:1" ht="23.25" customHeight="1" x14ac:dyDescent="0.2">
      <c r="A17" s="44" t="s">
        <v>22</v>
      </c>
    </row>
    <row r="18" spans="1:1" ht="17.25" customHeight="1" x14ac:dyDescent="0.2">
      <c r="A18" s="47" t="s">
        <v>10</v>
      </c>
    </row>
    <row r="19" spans="1:1" ht="17.25" customHeight="1" x14ac:dyDescent="0.2">
      <c r="A19" s="47" t="s">
        <v>26</v>
      </c>
    </row>
    <row r="20" spans="1:1" ht="17.25" customHeight="1" x14ac:dyDescent="0.2">
      <c r="A20" s="53" t="s">
        <v>118</v>
      </c>
    </row>
    <row r="21" spans="1:1" ht="17.25" customHeight="1" x14ac:dyDescent="0.2">
      <c r="A21" s="48"/>
    </row>
    <row r="22" spans="1:1" ht="23.25" customHeight="1" x14ac:dyDescent="0.2">
      <c r="A22" s="44" t="s">
        <v>11</v>
      </c>
    </row>
    <row r="23" spans="1:1" ht="17.25" customHeight="1" x14ac:dyDescent="0.2">
      <c r="A23" s="48" t="s">
        <v>85</v>
      </c>
    </row>
    <row r="24" spans="1:1" ht="17.25" customHeight="1" x14ac:dyDescent="0.2">
      <c r="A24" s="48"/>
    </row>
    <row r="25" spans="1:1" ht="23.25" customHeight="1" x14ac:dyDescent="0.2">
      <c r="A25" s="44" t="s">
        <v>54</v>
      </c>
    </row>
    <row r="26" spans="1:1" ht="17.25" customHeight="1" x14ac:dyDescent="0.2">
      <c r="A26" s="49" t="s">
        <v>60</v>
      </c>
    </row>
    <row r="27" spans="1:1" ht="32.25" customHeight="1" x14ac:dyDescent="0.2">
      <c r="A27" s="47" t="s">
        <v>112</v>
      </c>
    </row>
    <row r="28" spans="1:1" ht="17.25" customHeight="1" x14ac:dyDescent="0.2">
      <c r="A28" s="49" t="s">
        <v>55</v>
      </c>
    </row>
    <row r="29" spans="1:1" ht="32.25" customHeight="1" x14ac:dyDescent="0.2">
      <c r="A29" s="47" t="s">
        <v>150</v>
      </c>
    </row>
    <row r="30" spans="1:1" ht="17.25" customHeight="1" x14ac:dyDescent="0.2">
      <c r="A30" s="49" t="s">
        <v>12</v>
      </c>
    </row>
    <row r="31" spans="1:1" ht="17.25" customHeight="1" x14ac:dyDescent="0.2">
      <c r="A31" s="47" t="s">
        <v>56</v>
      </c>
    </row>
    <row r="32" spans="1:1" ht="17.25" customHeight="1" x14ac:dyDescent="0.2">
      <c r="A32" s="49" t="s">
        <v>57</v>
      </c>
    </row>
    <row r="33" spans="1:1" ht="32.25" customHeight="1" x14ac:dyDescent="0.2">
      <c r="A33" s="47" t="s">
        <v>58</v>
      </c>
    </row>
    <row r="34" spans="1:1" ht="32.25" customHeight="1" x14ac:dyDescent="0.2">
      <c r="A34" s="46" t="s">
        <v>23</v>
      </c>
    </row>
    <row r="35" spans="1:1" ht="17.25" customHeight="1" x14ac:dyDescent="0.2">
      <c r="A35" s="49" t="s">
        <v>47</v>
      </c>
    </row>
    <row r="36" spans="1:1" ht="32.25" customHeight="1" x14ac:dyDescent="0.2">
      <c r="A36" s="47" t="s">
        <v>130</v>
      </c>
    </row>
    <row r="37" spans="1:1" ht="32.25" customHeight="1" x14ac:dyDescent="0.2">
      <c r="A37" s="47" t="s">
        <v>25</v>
      </c>
    </row>
    <row r="38" spans="1:1" ht="32.25" customHeight="1" x14ac:dyDescent="0.2">
      <c r="A38" s="47" t="s">
        <v>61</v>
      </c>
    </row>
    <row r="39" spans="1:1" ht="17.25" customHeight="1" x14ac:dyDescent="0.2">
      <c r="A39" s="46"/>
    </row>
    <row r="40" spans="1:1" ht="22.5" customHeight="1" x14ac:dyDescent="0.2">
      <c r="A40" s="44" t="s">
        <v>5</v>
      </c>
    </row>
    <row r="41" spans="1:1" ht="17.25" customHeight="1" x14ac:dyDescent="0.2">
      <c r="A41" s="53" t="s">
        <v>120</v>
      </c>
    </row>
    <row r="42" spans="1:1" ht="17.25" customHeight="1" x14ac:dyDescent="0.2">
      <c r="A42" s="50" t="s">
        <v>68</v>
      </c>
    </row>
    <row r="43" spans="1:1" ht="17.25" customHeight="1" x14ac:dyDescent="0.2">
      <c r="A43" s="48" t="s">
        <v>131</v>
      </c>
    </row>
    <row r="44" spans="1:1" ht="32.25" customHeight="1" x14ac:dyDescent="0.2">
      <c r="A44" s="48" t="s">
        <v>103</v>
      </c>
    </row>
    <row r="45" spans="1:1" ht="32.25" customHeight="1" x14ac:dyDescent="0.2">
      <c r="A45" s="48" t="s">
        <v>69</v>
      </c>
    </row>
    <row r="46" spans="1:1" ht="17.25" customHeight="1" x14ac:dyDescent="0.2">
      <c r="A46" s="51" t="s">
        <v>132</v>
      </c>
    </row>
    <row r="47" spans="1:1" ht="32.25" customHeight="1" x14ac:dyDescent="0.2">
      <c r="A47" s="47" t="s">
        <v>70</v>
      </c>
    </row>
    <row r="48" spans="1:1" ht="32.25" customHeight="1" x14ac:dyDescent="0.2">
      <c r="A48" s="47" t="s">
        <v>62</v>
      </c>
    </row>
    <row r="49" spans="1:1" ht="32.25" customHeight="1" x14ac:dyDescent="0.2">
      <c r="A49" s="48" t="s">
        <v>151</v>
      </c>
    </row>
    <row r="50" spans="1:1" ht="17.25" customHeight="1" x14ac:dyDescent="0.2">
      <c r="A50" s="48" t="s">
        <v>71</v>
      </c>
    </row>
    <row r="51" spans="1:1" ht="17.25" customHeight="1" x14ac:dyDescent="0.2">
      <c r="A51" s="48" t="s">
        <v>24</v>
      </c>
    </row>
    <row r="52" spans="1:1" ht="17.25" customHeight="1" x14ac:dyDescent="0.2">
      <c r="A52" s="48"/>
    </row>
    <row r="53" spans="1:1" ht="22.5" customHeight="1" x14ac:dyDescent="0.2">
      <c r="A53" s="44" t="s">
        <v>59</v>
      </c>
    </row>
    <row r="54" spans="1:1" ht="32.25" customHeight="1" x14ac:dyDescent="0.2">
      <c r="A54" s="113" t="s">
        <v>121</v>
      </c>
    </row>
    <row r="55" spans="1:1" ht="17.25" customHeight="1" x14ac:dyDescent="0.2">
      <c r="A55" s="52" t="s">
        <v>122</v>
      </c>
    </row>
    <row r="56" spans="1:1" ht="17.25" customHeight="1" x14ac:dyDescent="0.2">
      <c r="A56" s="53" t="s">
        <v>75</v>
      </c>
    </row>
    <row r="57" spans="1:1" ht="17.25" customHeight="1" x14ac:dyDescent="0.2">
      <c r="A57" s="53" t="s">
        <v>123</v>
      </c>
    </row>
    <row r="58" spans="1:1" ht="17.25" customHeight="1" x14ac:dyDescent="0.2">
      <c r="A58" s="54" t="s">
        <v>74</v>
      </c>
    </row>
    <row r="59" spans="1:1" x14ac:dyDescent="0.2"/>
    <row r="60" spans="1:1" hidden="1" x14ac:dyDescent="0.2"/>
    <row r="61" spans="1:1" hidden="1" x14ac:dyDescent="0.2">
      <c r="A61" s="55"/>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ageMargins left="0.70866141732283472" right="0.70866141732283472" top="0.74803149606299213" bottom="0.74803149606299213" header="0.31496062992125984" footer="0.31496062992125984"/>
  <pageSetup paperSize="8" scale="60"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zoomScaleNormal="100" workbookViewId="0">
      <selection activeCell="G9" sqref="G9"/>
    </sheetView>
  </sheetViews>
  <sheetFormatPr defaultColWidth="0" defaultRowHeight="12.75" zeroHeight="1" x14ac:dyDescent="0.2"/>
  <cols>
    <col min="1" max="1" width="35.7109375" customWidth="1"/>
    <col min="2" max="2" width="21.5703125" customWidth="1"/>
    <col min="3" max="3" width="33.5703125" customWidth="1"/>
    <col min="4" max="4" width="4.42578125" customWidth="1"/>
    <col min="5" max="5" width="29" customWidth="1"/>
    <col min="6" max="6" width="19" customWidth="1"/>
    <col min="7" max="7" width="42" customWidth="1"/>
    <col min="8" max="11" width="9.140625" hidden="1" customWidth="1"/>
    <col min="12" max="16384" width="9.140625" hidden="1"/>
  </cols>
  <sheetData>
    <row r="1" spans="1:11" ht="26.25" customHeight="1" x14ac:dyDescent="0.2">
      <c r="A1" s="121" t="s">
        <v>98</v>
      </c>
      <c r="B1" s="121"/>
      <c r="C1" s="121"/>
      <c r="D1" s="121"/>
      <c r="E1" s="121"/>
      <c r="F1" s="121"/>
      <c r="G1" s="19"/>
      <c r="H1" s="19"/>
      <c r="I1" s="19"/>
      <c r="J1" s="19"/>
      <c r="K1" s="19"/>
    </row>
    <row r="2" spans="1:11" ht="21" customHeight="1" x14ac:dyDescent="0.2">
      <c r="A2" s="3" t="s">
        <v>2</v>
      </c>
      <c r="B2" s="122" t="s">
        <v>168</v>
      </c>
      <c r="C2" s="122"/>
      <c r="D2" s="122"/>
      <c r="E2" s="122"/>
      <c r="F2" s="122"/>
      <c r="G2" s="19"/>
      <c r="H2" s="19"/>
      <c r="I2" s="19"/>
      <c r="J2" s="19"/>
      <c r="K2" s="19"/>
    </row>
    <row r="3" spans="1:11" ht="21" customHeight="1" x14ac:dyDescent="0.2">
      <c r="A3" s="3" t="s">
        <v>99</v>
      </c>
      <c r="B3" s="122" t="s">
        <v>169</v>
      </c>
      <c r="C3" s="122"/>
      <c r="D3" s="122"/>
      <c r="E3" s="122"/>
      <c r="F3" s="122"/>
      <c r="G3" s="19"/>
      <c r="H3" s="19"/>
      <c r="I3" s="19"/>
      <c r="J3" s="19"/>
      <c r="K3" s="19"/>
    </row>
    <row r="4" spans="1:11" ht="21" customHeight="1" x14ac:dyDescent="0.2">
      <c r="A4" s="3" t="s">
        <v>79</v>
      </c>
      <c r="B4" s="123">
        <v>43282</v>
      </c>
      <c r="C4" s="123"/>
      <c r="D4" s="123"/>
      <c r="E4" s="123"/>
      <c r="F4" s="123"/>
      <c r="G4" s="19"/>
      <c r="H4" s="19"/>
      <c r="I4" s="19"/>
      <c r="J4" s="19"/>
      <c r="K4" s="19"/>
    </row>
    <row r="5" spans="1:11" ht="21" customHeight="1" x14ac:dyDescent="0.2">
      <c r="A5" s="3" t="s">
        <v>80</v>
      </c>
      <c r="B5" s="123">
        <v>43646</v>
      </c>
      <c r="C5" s="123"/>
      <c r="D5" s="123"/>
      <c r="E5" s="123"/>
      <c r="F5" s="123"/>
      <c r="G5" s="19"/>
      <c r="H5" s="19"/>
      <c r="I5" s="19"/>
      <c r="J5" s="19"/>
      <c r="K5" s="19"/>
    </row>
    <row r="6" spans="1:11" ht="21" customHeight="1" x14ac:dyDescent="0.2">
      <c r="A6" s="3" t="s">
        <v>104</v>
      </c>
      <c r="B6" s="120" t="str">
        <f>IF(AND(Travel!B7&lt;&gt;A30,Hospitality!B7&lt;&gt;A30,'All other expenses'!B7&lt;&gt;A30,'Gifts and benefits'!B7&lt;&gt;A30),A31,IF(AND(Travel!B7=A30,Hospitality!B7=A30,'All other expenses'!B7=A30,'Gifts and benefits'!B7=A30),A33,A32))</f>
        <v>Data and totals checked on all sheets</v>
      </c>
      <c r="C6" s="120"/>
      <c r="D6" s="120"/>
      <c r="E6" s="120"/>
      <c r="F6" s="120"/>
      <c r="G6" s="25"/>
      <c r="H6" s="19"/>
      <c r="I6" s="19"/>
      <c r="J6" s="19"/>
      <c r="K6" s="19"/>
    </row>
    <row r="7" spans="1:11" ht="21" customHeight="1" x14ac:dyDescent="0.2">
      <c r="A7" s="3" t="s">
        <v>133</v>
      </c>
      <c r="B7" s="119" t="s">
        <v>63</v>
      </c>
      <c r="C7" s="119"/>
      <c r="D7" s="119"/>
      <c r="E7" s="119"/>
      <c r="F7" s="119"/>
      <c r="G7" s="25"/>
      <c r="H7" s="19"/>
      <c r="I7" s="19"/>
      <c r="J7" s="19"/>
      <c r="K7" s="19"/>
    </row>
    <row r="8" spans="1:11" ht="21" customHeight="1" x14ac:dyDescent="0.2">
      <c r="A8" s="3" t="s">
        <v>100</v>
      </c>
      <c r="B8" s="119" t="s">
        <v>409</v>
      </c>
      <c r="C8" s="119"/>
      <c r="D8" s="119"/>
      <c r="E8" s="119"/>
      <c r="F8" s="119"/>
      <c r="G8" s="25"/>
      <c r="H8" s="19"/>
      <c r="I8" s="19"/>
      <c r="J8" s="19"/>
      <c r="K8" s="19"/>
    </row>
    <row r="9" spans="1:11" ht="66.75" customHeight="1" x14ac:dyDescent="0.2">
      <c r="A9" s="118" t="s">
        <v>125</v>
      </c>
      <c r="B9" s="118"/>
      <c r="C9" s="118"/>
      <c r="D9" s="118"/>
      <c r="E9" s="118"/>
      <c r="F9" s="118"/>
      <c r="G9" s="25"/>
      <c r="H9" s="19"/>
      <c r="I9" s="19"/>
      <c r="J9" s="19"/>
      <c r="K9" s="19"/>
    </row>
    <row r="10" spans="1:11" s="112" customFormat="1" ht="36" customHeight="1" x14ac:dyDescent="0.2">
      <c r="A10" s="106" t="s">
        <v>48</v>
      </c>
      <c r="B10" s="107" t="s">
        <v>31</v>
      </c>
      <c r="C10" s="107" t="s">
        <v>65</v>
      </c>
      <c r="D10" s="108"/>
      <c r="E10" s="109" t="s">
        <v>47</v>
      </c>
      <c r="F10" s="110" t="s">
        <v>72</v>
      </c>
      <c r="G10" s="111"/>
      <c r="H10" s="111"/>
      <c r="I10" s="111"/>
      <c r="J10" s="111"/>
      <c r="K10" s="111"/>
    </row>
    <row r="11" spans="1:11" ht="27.75" customHeight="1" x14ac:dyDescent="0.2">
      <c r="A11" s="9" t="s">
        <v>84</v>
      </c>
      <c r="B11" s="65">
        <f>B15+B16+B17</f>
        <v>7780.423913043478</v>
      </c>
      <c r="C11" s="71" t="s">
        <v>399</v>
      </c>
      <c r="D11" s="6"/>
      <c r="E11" s="9" t="s">
        <v>95</v>
      </c>
      <c r="F11" s="35">
        <f>'Gifts and benefits'!C56</f>
        <v>43</v>
      </c>
      <c r="G11" s="31"/>
      <c r="H11" s="31"/>
      <c r="I11" s="31"/>
      <c r="J11" s="31"/>
      <c r="K11" s="31"/>
    </row>
    <row r="12" spans="1:11" ht="27.75" customHeight="1" x14ac:dyDescent="0.2">
      <c r="A12" s="9" t="s">
        <v>12</v>
      </c>
      <c r="B12" s="65">
        <f>Hospitality!B15</f>
        <v>102.99000000000001</v>
      </c>
      <c r="C12" s="71" t="s">
        <v>399</v>
      </c>
      <c r="D12" s="6"/>
      <c r="E12" s="9" t="s">
        <v>96</v>
      </c>
      <c r="F12" s="35">
        <f>'Gifts and benefits'!C57</f>
        <v>9</v>
      </c>
      <c r="G12" s="31"/>
      <c r="H12" s="31"/>
      <c r="I12" s="31"/>
      <c r="J12" s="31"/>
      <c r="K12" s="31"/>
    </row>
    <row r="13" spans="1:11" ht="27.75" customHeight="1" x14ac:dyDescent="0.2">
      <c r="A13" s="9" t="s">
        <v>30</v>
      </c>
      <c r="B13" s="65">
        <f>'All other expenses'!B17</f>
        <v>1085</v>
      </c>
      <c r="C13" s="71" t="s">
        <v>399</v>
      </c>
      <c r="D13" s="6"/>
      <c r="E13" s="9" t="s">
        <v>97</v>
      </c>
      <c r="F13" s="35">
        <f>'Gifts and benefits'!C58</f>
        <v>34</v>
      </c>
      <c r="G13" s="19"/>
      <c r="H13" s="19"/>
      <c r="I13" s="19"/>
      <c r="J13" s="19"/>
      <c r="K13" s="19"/>
    </row>
    <row r="14" spans="1:11" ht="12.75" customHeight="1" x14ac:dyDescent="0.2">
      <c r="A14" s="8"/>
      <c r="B14" s="66"/>
      <c r="C14" s="72"/>
      <c r="D14" s="36"/>
      <c r="E14" s="6"/>
      <c r="F14" s="37"/>
      <c r="G14" s="19"/>
      <c r="H14" s="19"/>
      <c r="I14" s="19"/>
      <c r="J14" s="19"/>
      <c r="K14" s="19"/>
    </row>
    <row r="15" spans="1:11" ht="27.75" customHeight="1" x14ac:dyDescent="0.2">
      <c r="A15" s="10" t="s">
        <v>45</v>
      </c>
      <c r="B15" s="67">
        <f>Travel!B25</f>
        <v>2926.9969565217384</v>
      </c>
      <c r="C15" s="73" t="str">
        <f>C11</f>
        <v>Figures include GST</v>
      </c>
      <c r="D15" s="6"/>
      <c r="E15" s="6"/>
      <c r="F15" s="37"/>
      <c r="G15" s="19"/>
      <c r="H15" s="19"/>
      <c r="I15" s="19"/>
      <c r="J15" s="19"/>
      <c r="K15" s="19"/>
    </row>
    <row r="16" spans="1:11" ht="27.75" customHeight="1" x14ac:dyDescent="0.2">
      <c r="A16" s="10" t="s">
        <v>91</v>
      </c>
      <c r="B16" s="67">
        <f>Travel!B69</f>
        <v>4665.7334782608705</v>
      </c>
      <c r="C16" s="73" t="str">
        <f>C11</f>
        <v>Figures include GST</v>
      </c>
      <c r="D16" s="38"/>
      <c r="E16" s="6"/>
      <c r="F16" s="39"/>
      <c r="G16" s="19"/>
      <c r="H16" s="19"/>
      <c r="I16" s="19"/>
      <c r="J16" s="19"/>
      <c r="K16" s="19"/>
    </row>
    <row r="17" spans="1:11" ht="27.75" customHeight="1" x14ac:dyDescent="0.2">
      <c r="A17" s="10" t="s">
        <v>46</v>
      </c>
      <c r="B17" s="67">
        <f>Travel!B92</f>
        <v>187.69347826086957</v>
      </c>
      <c r="C17" s="73" t="str">
        <f>C11</f>
        <v>Figures include GST</v>
      </c>
      <c r="D17" s="6"/>
      <c r="E17" s="6"/>
      <c r="F17" s="39"/>
      <c r="G17" s="19"/>
      <c r="H17" s="19"/>
      <c r="I17" s="19"/>
      <c r="J17" s="19"/>
      <c r="K17" s="19"/>
    </row>
    <row r="18" spans="1:11" ht="27.75" customHeight="1" x14ac:dyDescent="0.2">
      <c r="A18" s="19"/>
      <c r="B18" s="21"/>
      <c r="C18" s="19"/>
      <c r="D18" s="5"/>
      <c r="E18" s="5"/>
      <c r="F18" s="30"/>
      <c r="G18" s="19"/>
      <c r="H18" s="19"/>
      <c r="I18" s="19"/>
      <c r="J18" s="19"/>
      <c r="K18" s="19"/>
    </row>
    <row r="19" spans="1:11" x14ac:dyDescent="0.2">
      <c r="A19" s="20" t="s">
        <v>8</v>
      </c>
      <c r="B19" s="21"/>
      <c r="C19" s="19"/>
      <c r="D19" s="19"/>
      <c r="E19" s="19"/>
      <c r="F19" s="19"/>
      <c r="G19" s="19"/>
      <c r="H19" s="19"/>
      <c r="I19" s="19"/>
      <c r="J19" s="19"/>
      <c r="K19" s="19"/>
    </row>
    <row r="20" spans="1:11" x14ac:dyDescent="0.2">
      <c r="A20" s="22" t="s">
        <v>9</v>
      </c>
      <c r="D20" s="19"/>
      <c r="E20" s="19"/>
      <c r="F20" s="19"/>
      <c r="G20" s="19"/>
      <c r="H20" s="19"/>
      <c r="I20" s="19"/>
      <c r="J20" s="19"/>
      <c r="K20" s="19"/>
    </row>
    <row r="21" spans="1:11" ht="12.6" customHeight="1" x14ac:dyDescent="0.2">
      <c r="A21" s="22" t="s">
        <v>66</v>
      </c>
      <c r="D21" s="19"/>
      <c r="E21" s="19"/>
      <c r="F21" s="19"/>
      <c r="G21" s="19"/>
      <c r="H21" s="19"/>
      <c r="I21" s="19"/>
      <c r="J21" s="19"/>
      <c r="K21" s="19"/>
    </row>
    <row r="22" spans="1:11" ht="12.6" customHeight="1" x14ac:dyDescent="0.2">
      <c r="A22" s="22" t="s">
        <v>81</v>
      </c>
      <c r="D22" s="19"/>
      <c r="E22" s="19"/>
      <c r="F22" s="19"/>
      <c r="G22" s="19"/>
      <c r="H22" s="19"/>
      <c r="I22" s="19"/>
      <c r="J22" s="19"/>
      <c r="K22" s="19"/>
    </row>
    <row r="23" spans="1:11" ht="12.6" customHeight="1" x14ac:dyDescent="0.2">
      <c r="A23" s="22" t="s">
        <v>101</v>
      </c>
      <c r="D23" s="19"/>
      <c r="E23" s="19"/>
      <c r="F23" s="19"/>
      <c r="G23" s="19"/>
      <c r="H23" s="19"/>
      <c r="I23" s="19"/>
      <c r="J23" s="19"/>
      <c r="K23" s="19"/>
    </row>
    <row r="24" spans="1:11" x14ac:dyDescent="0.2">
      <c r="A24" s="28"/>
      <c r="B24" s="19"/>
      <c r="C24" s="19"/>
      <c r="D24" s="19"/>
      <c r="E24" s="19"/>
      <c r="F24" s="19"/>
      <c r="G24" s="19"/>
      <c r="H24" s="19"/>
      <c r="I24" s="19"/>
      <c r="J24" s="19"/>
      <c r="K24" s="19"/>
    </row>
    <row r="25" spans="1:11" hidden="1" x14ac:dyDescent="0.2">
      <c r="A25" s="13" t="s">
        <v>141</v>
      </c>
      <c r="B25" s="14"/>
      <c r="C25" s="14"/>
      <c r="D25" s="14"/>
      <c r="E25" s="14"/>
      <c r="F25" s="14"/>
      <c r="G25" s="19"/>
      <c r="H25" s="19"/>
      <c r="I25" s="19"/>
      <c r="J25" s="19"/>
      <c r="K25" s="19"/>
    </row>
    <row r="26" spans="1:11" ht="12.75" hidden="1" customHeight="1" x14ac:dyDescent="0.2">
      <c r="A26" s="12" t="s">
        <v>157</v>
      </c>
      <c r="B26" s="4"/>
      <c r="C26" s="4"/>
      <c r="D26" s="12"/>
      <c r="E26" s="12"/>
      <c r="F26" s="12"/>
      <c r="G26" s="19"/>
      <c r="H26" s="19"/>
      <c r="I26" s="19"/>
      <c r="J26" s="19"/>
      <c r="K26" s="19"/>
    </row>
    <row r="27" spans="1:11" hidden="1" x14ac:dyDescent="0.2">
      <c r="A27" s="11" t="s">
        <v>64</v>
      </c>
      <c r="B27" s="11"/>
      <c r="C27" s="11"/>
      <c r="D27" s="11"/>
      <c r="E27" s="11"/>
      <c r="F27" s="11"/>
      <c r="G27" s="19"/>
      <c r="H27" s="19"/>
      <c r="I27" s="19"/>
      <c r="J27" s="19"/>
      <c r="K27" s="19"/>
    </row>
    <row r="28" spans="1:11" hidden="1" x14ac:dyDescent="0.2">
      <c r="A28" s="11" t="s">
        <v>28</v>
      </c>
      <c r="B28" s="11"/>
      <c r="C28" s="11"/>
      <c r="D28" s="11"/>
      <c r="E28" s="11"/>
      <c r="F28" s="11"/>
      <c r="G28" s="19"/>
      <c r="H28" s="19"/>
      <c r="I28" s="19"/>
      <c r="J28" s="19"/>
      <c r="K28" s="19"/>
    </row>
    <row r="29" spans="1:11" hidden="1" x14ac:dyDescent="0.2">
      <c r="A29" s="12" t="s">
        <v>115</v>
      </c>
      <c r="B29" s="12"/>
      <c r="C29" s="12"/>
      <c r="D29" s="12"/>
      <c r="E29" s="12"/>
      <c r="F29" s="12"/>
      <c r="G29" s="19"/>
      <c r="H29" s="19"/>
      <c r="I29" s="19"/>
      <c r="J29" s="19"/>
      <c r="K29" s="19"/>
    </row>
    <row r="30" spans="1:11" hidden="1" x14ac:dyDescent="0.2">
      <c r="A30" s="12" t="s">
        <v>116</v>
      </c>
      <c r="B30" s="12"/>
      <c r="C30" s="12"/>
      <c r="D30" s="12"/>
      <c r="E30" s="12"/>
      <c r="F30" s="12"/>
      <c r="G30" s="19"/>
      <c r="H30" s="19"/>
      <c r="I30" s="19"/>
      <c r="J30" s="19"/>
      <c r="K30" s="19"/>
    </row>
    <row r="31" spans="1:11" hidden="1" x14ac:dyDescent="0.2">
      <c r="A31" s="11" t="s">
        <v>106</v>
      </c>
      <c r="B31" s="11"/>
      <c r="C31" s="11"/>
      <c r="D31" s="11"/>
      <c r="E31" s="11"/>
      <c r="F31" s="11"/>
      <c r="G31" s="19"/>
      <c r="H31" s="19"/>
      <c r="I31" s="19"/>
      <c r="J31" s="19"/>
      <c r="K31" s="19"/>
    </row>
    <row r="32" spans="1:11" hidden="1" x14ac:dyDescent="0.2">
      <c r="A32" s="11" t="s">
        <v>107</v>
      </c>
      <c r="B32" s="11"/>
      <c r="C32" s="11"/>
      <c r="D32" s="11"/>
      <c r="E32" s="11"/>
      <c r="F32" s="11"/>
      <c r="G32" s="19"/>
      <c r="H32" s="19"/>
      <c r="I32" s="19"/>
      <c r="J32" s="19"/>
      <c r="K32" s="19"/>
    </row>
    <row r="33" spans="1:11" hidden="1" x14ac:dyDescent="0.2">
      <c r="A33" s="11" t="s">
        <v>105</v>
      </c>
      <c r="B33" s="11"/>
      <c r="C33" s="11"/>
      <c r="D33" s="11"/>
      <c r="E33" s="11"/>
      <c r="F33" s="11"/>
      <c r="G33" s="19"/>
      <c r="H33" s="19"/>
      <c r="I33" s="19"/>
      <c r="J33" s="19"/>
      <c r="K33" s="19"/>
    </row>
    <row r="34" spans="1:11" hidden="1" x14ac:dyDescent="0.2">
      <c r="A34" s="12" t="s">
        <v>67</v>
      </c>
      <c r="B34" s="12"/>
      <c r="C34" s="12"/>
      <c r="D34" s="12"/>
      <c r="E34" s="12"/>
      <c r="F34" s="12"/>
      <c r="G34" s="19"/>
      <c r="H34" s="19"/>
      <c r="I34" s="19"/>
      <c r="J34" s="19"/>
      <c r="K34" s="19"/>
    </row>
    <row r="35" spans="1:11" hidden="1" x14ac:dyDescent="0.2">
      <c r="A35" s="12" t="s">
        <v>73</v>
      </c>
      <c r="B35" s="12"/>
      <c r="C35" s="12"/>
      <c r="D35" s="12"/>
      <c r="E35" s="12"/>
      <c r="F35" s="12"/>
      <c r="G35" s="19"/>
      <c r="H35" s="19"/>
      <c r="I35" s="19"/>
      <c r="J35" s="19"/>
      <c r="K35" s="19"/>
    </row>
    <row r="36" spans="1:11" hidden="1" x14ac:dyDescent="0.2">
      <c r="A36" s="11" t="s">
        <v>94</v>
      </c>
      <c r="B36" s="69"/>
      <c r="C36" s="69"/>
      <c r="D36" s="69"/>
      <c r="E36" s="69"/>
      <c r="F36" s="69"/>
      <c r="G36" s="19"/>
      <c r="H36" s="19"/>
      <c r="I36" s="19"/>
      <c r="J36" s="19"/>
      <c r="K36" s="19"/>
    </row>
    <row r="37" spans="1:11" hidden="1" x14ac:dyDescent="0.2">
      <c r="A37" s="11" t="s">
        <v>63</v>
      </c>
      <c r="B37" s="69"/>
      <c r="C37" s="69"/>
      <c r="D37" s="69"/>
      <c r="E37" s="69"/>
      <c r="F37" s="69"/>
      <c r="G37" s="19"/>
      <c r="H37" s="19"/>
      <c r="I37" s="19"/>
      <c r="J37" s="19"/>
      <c r="K37" s="19"/>
    </row>
    <row r="38" spans="1:11" hidden="1" x14ac:dyDescent="0.2">
      <c r="A38" s="12" t="s">
        <v>38</v>
      </c>
      <c r="B38" s="4"/>
      <c r="C38" s="4"/>
      <c r="D38" s="4"/>
      <c r="E38" s="4"/>
      <c r="F38" s="4"/>
      <c r="G38" s="19"/>
      <c r="H38" s="19"/>
      <c r="I38" s="19"/>
      <c r="J38" s="19"/>
      <c r="K38" s="19"/>
    </row>
    <row r="39" spans="1:11" hidden="1" x14ac:dyDescent="0.2">
      <c r="A39" s="4" t="s">
        <v>39</v>
      </c>
      <c r="B39" s="4"/>
      <c r="C39" s="4"/>
      <c r="D39" s="4"/>
      <c r="E39" s="4"/>
      <c r="F39" s="4"/>
      <c r="G39" s="19"/>
      <c r="H39" s="19"/>
      <c r="I39" s="19"/>
      <c r="J39" s="19"/>
      <c r="K39" s="19"/>
    </row>
    <row r="40" spans="1:11" hidden="1" x14ac:dyDescent="0.2">
      <c r="A40" s="4" t="s">
        <v>41</v>
      </c>
      <c r="B40" s="4"/>
      <c r="C40" s="4"/>
      <c r="D40" s="4"/>
      <c r="E40" s="4"/>
      <c r="F40" s="4"/>
      <c r="G40" s="19"/>
      <c r="H40" s="19"/>
      <c r="I40" s="19"/>
      <c r="J40" s="19"/>
      <c r="K40" s="19"/>
    </row>
    <row r="41" spans="1:11" hidden="1" x14ac:dyDescent="0.2">
      <c r="A41" s="4" t="s">
        <v>40</v>
      </c>
      <c r="B41" s="4"/>
      <c r="C41" s="4"/>
      <c r="D41" s="4"/>
      <c r="E41" s="4"/>
      <c r="F41" s="4"/>
      <c r="G41" s="19"/>
      <c r="H41" s="19"/>
      <c r="I41" s="19"/>
      <c r="J41" s="19"/>
      <c r="K41" s="19"/>
    </row>
    <row r="42" spans="1:11" hidden="1" x14ac:dyDescent="0.2">
      <c r="A42" s="4" t="s">
        <v>42</v>
      </c>
      <c r="B42" s="4"/>
      <c r="C42" s="4"/>
      <c r="D42" s="4"/>
      <c r="E42" s="4"/>
      <c r="F42" s="4"/>
      <c r="G42" s="19"/>
      <c r="H42" s="19"/>
      <c r="I42" s="19"/>
      <c r="J42" s="19"/>
      <c r="K42" s="19"/>
    </row>
    <row r="43" spans="1:11" hidden="1" x14ac:dyDescent="0.2">
      <c r="A43" s="4" t="s">
        <v>43</v>
      </c>
      <c r="B43" s="4"/>
      <c r="C43" s="4"/>
      <c r="D43" s="4"/>
      <c r="E43" s="4"/>
      <c r="F43" s="4"/>
      <c r="G43" s="19"/>
      <c r="H43" s="19"/>
      <c r="I43" s="19"/>
      <c r="J43" s="19"/>
      <c r="K43" s="19"/>
    </row>
    <row r="44" spans="1:11" hidden="1" x14ac:dyDescent="0.2">
      <c r="A44" s="70" t="s">
        <v>36</v>
      </c>
      <c r="B44" s="69"/>
      <c r="C44" s="69"/>
      <c r="D44" s="69"/>
      <c r="E44" s="69"/>
      <c r="F44" s="69"/>
      <c r="G44" s="19"/>
      <c r="H44" s="19"/>
      <c r="I44" s="19"/>
      <c r="J44" s="19"/>
      <c r="K44" s="19"/>
    </row>
    <row r="45" spans="1:11" hidden="1" x14ac:dyDescent="0.2">
      <c r="A45" s="69" t="s">
        <v>34</v>
      </c>
      <c r="B45" s="69"/>
      <c r="C45" s="69"/>
      <c r="D45" s="69"/>
      <c r="E45" s="69"/>
      <c r="F45" s="69"/>
      <c r="G45" s="19"/>
      <c r="H45" s="19"/>
      <c r="I45" s="19"/>
      <c r="J45" s="19"/>
      <c r="K45" s="19"/>
    </row>
    <row r="46" spans="1:11" hidden="1" x14ac:dyDescent="0.2">
      <c r="A46" s="40">
        <v>-20000</v>
      </c>
      <c r="B46" s="4"/>
      <c r="C46" s="4"/>
      <c r="D46" s="4"/>
      <c r="E46" s="4"/>
      <c r="F46" s="4"/>
      <c r="G46" s="19"/>
      <c r="H46" s="19"/>
      <c r="I46" s="19"/>
      <c r="J46" s="19"/>
      <c r="K46" s="19"/>
    </row>
    <row r="47" spans="1:11" ht="25.5" hidden="1" x14ac:dyDescent="0.2">
      <c r="A47" s="100" t="s">
        <v>138</v>
      </c>
      <c r="B47" s="69"/>
      <c r="C47" s="69"/>
      <c r="D47" s="69"/>
      <c r="E47" s="69"/>
      <c r="F47" s="69"/>
      <c r="G47" s="19"/>
      <c r="H47" s="19"/>
      <c r="I47" s="19"/>
      <c r="J47" s="19"/>
      <c r="K47" s="19"/>
    </row>
    <row r="48" spans="1:11" ht="25.5" hidden="1" x14ac:dyDescent="0.2">
      <c r="A48" s="100" t="s">
        <v>137</v>
      </c>
      <c r="B48" s="69"/>
      <c r="C48" s="69"/>
      <c r="D48" s="69"/>
      <c r="E48" s="69"/>
      <c r="F48" s="69"/>
      <c r="G48" s="19"/>
      <c r="H48" s="19"/>
      <c r="I48" s="19"/>
      <c r="J48" s="19"/>
      <c r="K48" s="19"/>
    </row>
    <row r="49" spans="1:11" ht="25.5" hidden="1" x14ac:dyDescent="0.2">
      <c r="A49" s="101" t="s">
        <v>139</v>
      </c>
      <c r="B49" s="4"/>
      <c r="C49" s="4"/>
      <c r="D49" s="4"/>
      <c r="E49" s="4"/>
      <c r="F49" s="4"/>
      <c r="G49" s="19"/>
      <c r="H49" s="19"/>
      <c r="I49" s="19"/>
      <c r="J49" s="19"/>
      <c r="K49" s="19"/>
    </row>
    <row r="50" spans="1:11" ht="25.5" hidden="1" x14ac:dyDescent="0.2">
      <c r="A50" s="101" t="s">
        <v>113</v>
      </c>
      <c r="B50" s="4"/>
      <c r="C50" s="4"/>
      <c r="D50" s="4"/>
      <c r="E50" s="4"/>
      <c r="F50" s="4"/>
      <c r="G50" s="19"/>
      <c r="H50" s="19"/>
      <c r="I50" s="19"/>
      <c r="J50" s="19"/>
      <c r="K50" s="19"/>
    </row>
    <row r="51" spans="1:11" ht="38.25" hidden="1" x14ac:dyDescent="0.2">
      <c r="A51" s="101" t="s">
        <v>114</v>
      </c>
      <c r="B51" s="93"/>
      <c r="C51" s="93"/>
      <c r="D51" s="93"/>
      <c r="E51" s="12"/>
      <c r="F51" s="12"/>
      <c r="G51" s="19"/>
      <c r="H51" s="19"/>
      <c r="I51" s="19"/>
      <c r="J51" s="19"/>
      <c r="K51" s="19"/>
    </row>
    <row r="52" spans="1:11" hidden="1" x14ac:dyDescent="0.2">
      <c r="A52" s="98" t="s">
        <v>117</v>
      </c>
      <c r="B52" s="92"/>
      <c r="C52" s="92"/>
      <c r="D52" s="92"/>
      <c r="E52" s="11"/>
      <c r="F52" s="11" t="b">
        <v>1</v>
      </c>
      <c r="G52" s="19"/>
      <c r="H52" s="19"/>
      <c r="I52" s="19"/>
      <c r="J52" s="19"/>
      <c r="K52" s="19"/>
    </row>
    <row r="53" spans="1:11" hidden="1" x14ac:dyDescent="0.2">
      <c r="A53" s="99" t="s">
        <v>140</v>
      </c>
      <c r="B53" s="98"/>
      <c r="C53" s="98"/>
      <c r="D53" s="98"/>
      <c r="E53" s="11"/>
      <c r="F53" s="11" t="b">
        <v>0</v>
      </c>
      <c r="G53" s="19"/>
      <c r="H53" s="19"/>
      <c r="I53" s="19"/>
      <c r="J53" s="19"/>
      <c r="K53" s="19"/>
    </row>
    <row r="54" spans="1:11" hidden="1" x14ac:dyDescent="0.2">
      <c r="A54" s="102"/>
      <c r="B54" s="94">
        <f>COUNT(Travel!B13:B18)</f>
        <v>6</v>
      </c>
      <c r="C54" s="94"/>
      <c r="D54" s="94">
        <f>COUNTIF(Travel!D13:D18,"*")</f>
        <v>6</v>
      </c>
      <c r="E54" s="95"/>
      <c r="F54" s="95" t="b">
        <f>MIN(B54,D54)=MAX(B54,D54)</f>
        <v>1</v>
      </c>
      <c r="G54" s="19"/>
      <c r="H54" s="19"/>
      <c r="I54" s="19"/>
      <c r="J54" s="19"/>
      <c r="K54" s="19"/>
    </row>
    <row r="55" spans="1:11" hidden="1" x14ac:dyDescent="0.2">
      <c r="A55" s="102" t="s">
        <v>111</v>
      </c>
      <c r="B55" s="94">
        <f>COUNT(Travel!B29:B42)</f>
        <v>14</v>
      </c>
      <c r="C55" s="94"/>
      <c r="D55" s="94">
        <f>COUNTIF(Travel!D29:D42,"*")</f>
        <v>14</v>
      </c>
      <c r="E55" s="95"/>
      <c r="F55" s="95" t="b">
        <f>MIN(B55,D55)=MAX(B55,D55)</f>
        <v>1</v>
      </c>
    </row>
    <row r="56" spans="1:11" hidden="1" x14ac:dyDescent="0.2">
      <c r="A56" s="103"/>
      <c r="B56" s="94">
        <f>COUNT(Travel!B73:B91)</f>
        <v>19</v>
      </c>
      <c r="C56" s="94"/>
      <c r="D56" s="94">
        <f>COUNTIF(Travel!D73:D91,"*")</f>
        <v>19</v>
      </c>
      <c r="E56" s="95"/>
      <c r="F56" s="95" t="b">
        <f>MIN(B56,D56)=MAX(B56,D56)</f>
        <v>1</v>
      </c>
    </row>
    <row r="57" spans="1:11" hidden="1" x14ac:dyDescent="0.2">
      <c r="A57" s="104" t="s">
        <v>109</v>
      </c>
      <c r="B57" s="96">
        <f>COUNT(Hospitality!B11:B14)</f>
        <v>2</v>
      </c>
      <c r="C57" s="96"/>
      <c r="D57" s="96">
        <f>COUNTIF(Hospitality!D11:D14,"*")</f>
        <v>2</v>
      </c>
      <c r="E57" s="97"/>
      <c r="F57" s="97" t="b">
        <f>MIN(B57,D57)=MAX(B57,D57)</f>
        <v>1</v>
      </c>
    </row>
    <row r="58" spans="1:11" hidden="1" x14ac:dyDescent="0.2">
      <c r="A58" s="105" t="s">
        <v>110</v>
      </c>
      <c r="B58" s="95">
        <f>COUNT('All other expenses'!B11:B16)</f>
        <v>4</v>
      </c>
      <c r="C58" s="95"/>
      <c r="D58" s="95">
        <f>COUNTIF('All other expenses'!D11:D16,"*")</f>
        <v>4</v>
      </c>
      <c r="E58" s="95"/>
      <c r="F58" s="95" t="b">
        <f>MIN(B58,D58)=MAX(B58,D58)</f>
        <v>1</v>
      </c>
    </row>
    <row r="59" spans="1:11" hidden="1" x14ac:dyDescent="0.2">
      <c r="A59" s="104" t="s">
        <v>108</v>
      </c>
      <c r="B59" s="96">
        <f>COUNTIF('Gifts and benefits'!B11:B55,"*")</f>
        <v>43</v>
      </c>
      <c r="C59" s="96">
        <f>COUNTIF('Gifts and benefits'!C11:C55,"*")</f>
        <v>43</v>
      </c>
      <c r="D59" s="96"/>
      <c r="E59" s="96">
        <f>COUNTA('Gifts and benefits'!E11:E55)</f>
        <v>43</v>
      </c>
      <c r="F59" s="97"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191"/>
  <sheetViews>
    <sheetView topLeftCell="A66" zoomScaleNormal="100" workbookViewId="0">
      <selection activeCell="C94" sqref="C94"/>
    </sheetView>
  </sheetViews>
  <sheetFormatPr defaultColWidth="0" defaultRowHeight="12.75" zeroHeight="1" x14ac:dyDescent="0.2"/>
  <cols>
    <col min="1" max="1" width="35.7109375" customWidth="1"/>
    <col min="2" max="2" width="14.28515625" customWidth="1"/>
    <col min="3" max="3" width="69.7109375" customWidth="1"/>
    <col min="4" max="4" width="51.140625" customWidth="1"/>
    <col min="5" max="5" width="21.42578125" customWidth="1"/>
    <col min="6" max="6" width="37.5703125" customWidth="1"/>
    <col min="7" max="9" width="9.140625" hidden="1" customWidth="1"/>
    <col min="10" max="13" width="0" hidden="1" customWidth="1"/>
    <col min="14" max="16384" width="9.140625" hidden="1"/>
  </cols>
  <sheetData>
    <row r="1" spans="1:6" ht="26.25" customHeight="1" x14ac:dyDescent="0.2">
      <c r="A1" s="121" t="s">
        <v>6</v>
      </c>
      <c r="B1" s="121"/>
      <c r="C1" s="121"/>
      <c r="D1" s="121"/>
      <c r="E1" s="121"/>
      <c r="F1" s="19"/>
    </row>
    <row r="2" spans="1:6" ht="21" customHeight="1" x14ac:dyDescent="0.2">
      <c r="A2" s="3" t="s">
        <v>2</v>
      </c>
      <c r="B2" s="125" t="str">
        <f>'Summary and sign-off'!B2:F2</f>
        <v>PHARMAC</v>
      </c>
      <c r="C2" s="125"/>
      <c r="D2" s="125"/>
      <c r="E2" s="125"/>
      <c r="F2" s="19"/>
    </row>
    <row r="3" spans="1:6" ht="21" customHeight="1" x14ac:dyDescent="0.2">
      <c r="A3" s="3" t="s">
        <v>3</v>
      </c>
      <c r="B3" s="125" t="str">
        <f>'Summary and sign-off'!B3:F3</f>
        <v>Sarah Fitt</v>
      </c>
      <c r="C3" s="125"/>
      <c r="D3" s="125"/>
      <c r="E3" s="125"/>
      <c r="F3" s="19"/>
    </row>
    <row r="4" spans="1:6" ht="21" customHeight="1" x14ac:dyDescent="0.2">
      <c r="A4" s="3" t="s">
        <v>77</v>
      </c>
      <c r="B4" s="125">
        <f>'Summary and sign-off'!B4:F4</f>
        <v>43282</v>
      </c>
      <c r="C4" s="125"/>
      <c r="D4" s="125"/>
      <c r="E4" s="125"/>
      <c r="F4" s="19"/>
    </row>
    <row r="5" spans="1:6" ht="21" customHeight="1" x14ac:dyDescent="0.2">
      <c r="A5" s="3" t="s">
        <v>78</v>
      </c>
      <c r="B5" s="125">
        <f>'Summary and sign-off'!B5:F5</f>
        <v>43646</v>
      </c>
      <c r="C5" s="125"/>
      <c r="D5" s="125"/>
      <c r="E5" s="125"/>
      <c r="F5" s="19"/>
    </row>
    <row r="6" spans="1:6" ht="21" customHeight="1" x14ac:dyDescent="0.2">
      <c r="A6" s="3" t="s">
        <v>29</v>
      </c>
      <c r="B6" s="119" t="s">
        <v>64</v>
      </c>
      <c r="C6" s="119"/>
      <c r="D6" s="119"/>
      <c r="E6" s="119"/>
      <c r="F6" s="19"/>
    </row>
    <row r="7" spans="1:6" ht="21" customHeight="1" x14ac:dyDescent="0.2">
      <c r="A7" s="3" t="s">
        <v>104</v>
      </c>
      <c r="B7" s="119" t="s">
        <v>116</v>
      </c>
      <c r="C7" s="119"/>
      <c r="D7" s="119"/>
      <c r="E7" s="119"/>
      <c r="F7" s="19"/>
    </row>
    <row r="8" spans="1:6" ht="36" customHeight="1" x14ac:dyDescent="0.2">
      <c r="A8" s="127" t="s">
        <v>4</v>
      </c>
      <c r="B8" s="128"/>
      <c r="C8" s="128"/>
      <c r="D8" s="128"/>
      <c r="E8" s="128"/>
      <c r="F8" s="21"/>
    </row>
    <row r="9" spans="1:6" ht="36" customHeight="1" x14ac:dyDescent="0.2">
      <c r="A9" s="129" t="s">
        <v>142</v>
      </c>
      <c r="B9" s="130"/>
      <c r="C9" s="130"/>
      <c r="D9" s="130"/>
      <c r="E9" s="130"/>
      <c r="F9" s="21"/>
    </row>
    <row r="10" spans="1:6" ht="24.75" customHeight="1" x14ac:dyDescent="0.2">
      <c r="A10" s="126" t="s">
        <v>143</v>
      </c>
      <c r="B10" s="132"/>
      <c r="C10" s="126"/>
      <c r="D10" s="126"/>
      <c r="E10" s="126"/>
      <c r="F10" s="31"/>
    </row>
    <row r="11" spans="1:6" ht="25.5" x14ac:dyDescent="0.2">
      <c r="A11" s="26" t="s">
        <v>49</v>
      </c>
      <c r="B11" s="26" t="s">
        <v>144</v>
      </c>
      <c r="C11" s="26" t="s">
        <v>145</v>
      </c>
      <c r="D11" s="26" t="s">
        <v>102</v>
      </c>
      <c r="E11" s="26" t="s">
        <v>76</v>
      </c>
      <c r="F11" s="32"/>
    </row>
    <row r="12" spans="1:6" s="2" customFormat="1" ht="25.5" x14ac:dyDescent="0.2">
      <c r="A12" s="76" t="s">
        <v>205</v>
      </c>
      <c r="B12" s="75">
        <f>25/1.15</f>
        <v>21.739130434782609</v>
      </c>
      <c r="C12" s="76" t="s">
        <v>214</v>
      </c>
      <c r="D12" s="76" t="s">
        <v>216</v>
      </c>
      <c r="E12" s="77" t="s">
        <v>215</v>
      </c>
      <c r="F12" s="1"/>
    </row>
    <row r="13" spans="1:6" s="2" customFormat="1" x14ac:dyDescent="0.2">
      <c r="A13" s="76" t="s">
        <v>171</v>
      </c>
      <c r="B13" s="75">
        <v>1203.78</v>
      </c>
      <c r="C13" s="76" t="s">
        <v>172</v>
      </c>
      <c r="D13" s="76" t="s">
        <v>198</v>
      </c>
      <c r="E13" s="77" t="s">
        <v>170</v>
      </c>
      <c r="F13" s="1"/>
    </row>
    <row r="14" spans="1:6" s="2" customFormat="1" x14ac:dyDescent="0.2">
      <c r="A14" s="76" t="s">
        <v>171</v>
      </c>
      <c r="B14" s="75">
        <f>35.5/1.15</f>
        <v>30.869565217391308</v>
      </c>
      <c r="C14" s="76" t="s">
        <v>172</v>
      </c>
      <c r="D14" s="76" t="s">
        <v>173</v>
      </c>
      <c r="E14" s="77" t="s">
        <v>202</v>
      </c>
      <c r="F14" s="1"/>
    </row>
    <row r="15" spans="1:6" s="2" customFormat="1" x14ac:dyDescent="0.2">
      <c r="A15" s="78" t="s">
        <v>171</v>
      </c>
      <c r="B15" s="75">
        <v>30.06</v>
      </c>
      <c r="C15" s="76" t="s">
        <v>172</v>
      </c>
      <c r="D15" s="76" t="s">
        <v>207</v>
      </c>
      <c r="E15" s="77" t="s">
        <v>206</v>
      </c>
      <c r="F15" s="1"/>
    </row>
    <row r="16" spans="1:6" s="2" customFormat="1" ht="12.75" customHeight="1" x14ac:dyDescent="0.2">
      <c r="A16" s="76" t="s">
        <v>171</v>
      </c>
      <c r="B16" s="75">
        <v>796.31</v>
      </c>
      <c r="C16" s="76" t="s">
        <v>172</v>
      </c>
      <c r="D16" s="76" t="s">
        <v>199</v>
      </c>
      <c r="E16" s="77" t="s">
        <v>170</v>
      </c>
      <c r="F16" s="114"/>
    </row>
    <row r="17" spans="1:6" s="2" customFormat="1" x14ac:dyDescent="0.2">
      <c r="A17" s="78" t="s">
        <v>179</v>
      </c>
      <c r="B17" s="75">
        <v>29.09</v>
      </c>
      <c r="C17" s="76" t="s">
        <v>172</v>
      </c>
      <c r="D17" s="76" t="s">
        <v>208</v>
      </c>
      <c r="E17" s="77" t="s">
        <v>206</v>
      </c>
      <c r="F17" s="1"/>
    </row>
    <row r="18" spans="1:6" s="2" customFormat="1" x14ac:dyDescent="0.2">
      <c r="A18" s="78" t="s">
        <v>192</v>
      </c>
      <c r="B18" s="75">
        <f>56.9/1.15</f>
        <v>49.478260869565219</v>
      </c>
      <c r="C18" s="76" t="s">
        <v>172</v>
      </c>
      <c r="D18" s="76" t="s">
        <v>173</v>
      </c>
      <c r="E18" s="77" t="s">
        <v>203</v>
      </c>
      <c r="F18" s="1"/>
    </row>
    <row r="19" spans="1:6" s="2" customFormat="1" x14ac:dyDescent="0.2">
      <c r="A19" s="78" t="s">
        <v>310</v>
      </c>
      <c r="B19" s="75">
        <v>66.87</v>
      </c>
      <c r="C19" s="76" t="s">
        <v>307</v>
      </c>
      <c r="D19" s="76" t="s">
        <v>173</v>
      </c>
      <c r="E19" s="77" t="s">
        <v>308</v>
      </c>
      <c r="F19" s="1"/>
    </row>
    <row r="20" spans="1:6" s="2" customFormat="1" x14ac:dyDescent="0.2">
      <c r="A20" s="78" t="s">
        <v>310</v>
      </c>
      <c r="B20" s="75">
        <v>472.35</v>
      </c>
      <c r="C20" s="76" t="s">
        <v>307</v>
      </c>
      <c r="D20" s="76" t="s">
        <v>174</v>
      </c>
      <c r="E20" s="77" t="s">
        <v>309</v>
      </c>
      <c r="F20" s="1"/>
    </row>
    <row r="21" spans="1:6" s="2" customFormat="1" x14ac:dyDescent="0.2">
      <c r="A21" s="78" t="s">
        <v>311</v>
      </c>
      <c r="B21" s="75">
        <v>43.8</v>
      </c>
      <c r="C21" s="76" t="s">
        <v>307</v>
      </c>
      <c r="D21" s="76" t="s">
        <v>173</v>
      </c>
      <c r="E21" s="77" t="s">
        <v>309</v>
      </c>
      <c r="F21" s="1"/>
    </row>
    <row r="22" spans="1:6" s="2" customFormat="1" x14ac:dyDescent="0.2">
      <c r="A22" s="78" t="s">
        <v>312</v>
      </c>
      <c r="B22" s="75">
        <v>38.33</v>
      </c>
      <c r="C22" s="76" t="s">
        <v>307</v>
      </c>
      <c r="D22" s="76" t="s">
        <v>173</v>
      </c>
      <c r="E22" s="77" t="s">
        <v>309</v>
      </c>
      <c r="F22" s="1"/>
    </row>
    <row r="23" spans="1:6" s="2" customFormat="1" x14ac:dyDescent="0.2">
      <c r="A23" s="78" t="s">
        <v>312</v>
      </c>
      <c r="B23" s="75">
        <v>87.6</v>
      </c>
      <c r="C23" s="76" t="s">
        <v>307</v>
      </c>
      <c r="D23" s="76" t="s">
        <v>173</v>
      </c>
      <c r="E23" s="77" t="s">
        <v>309</v>
      </c>
      <c r="F23" s="1"/>
    </row>
    <row r="24" spans="1:6" s="2" customFormat="1" x14ac:dyDescent="0.2">
      <c r="A24" s="78" t="s">
        <v>313</v>
      </c>
      <c r="B24" s="75">
        <v>56.72</v>
      </c>
      <c r="C24" s="76" t="s">
        <v>307</v>
      </c>
      <c r="D24" s="76" t="s">
        <v>173</v>
      </c>
      <c r="E24" s="77" t="s">
        <v>203</v>
      </c>
      <c r="F24" s="1"/>
    </row>
    <row r="25" spans="1:6" ht="19.5" customHeight="1" x14ac:dyDescent="0.2">
      <c r="A25" s="88" t="s">
        <v>154</v>
      </c>
      <c r="B25" s="89">
        <f>SUM(B12:B24)</f>
        <v>2926.9969565217384</v>
      </c>
      <c r="C25" s="90" t="str">
        <f>IF(SUBTOTAL(3,B13:B18)=SUBTOTAL(103,B13:B18),'Summary and sign-off'!$A$47,'Summary and sign-off'!$A$48)</f>
        <v>Check - there are no hidden rows with data</v>
      </c>
      <c r="D25" s="131" t="str">
        <f>IF('Summary and sign-off'!F54='Summary and sign-off'!F53,'Summary and sign-off'!A50,'Summary and sign-off'!A49)</f>
        <v>Check - each entry provides sufficient information</v>
      </c>
      <c r="E25" s="131"/>
      <c r="F25" s="19"/>
    </row>
    <row r="26" spans="1:6" ht="10.5" customHeight="1" x14ac:dyDescent="0.2">
      <c r="A26" s="19"/>
      <c r="B26" s="21"/>
      <c r="C26" s="19"/>
      <c r="D26" s="19"/>
      <c r="E26" s="19"/>
      <c r="F26" s="19"/>
    </row>
    <row r="27" spans="1:6" ht="24.75" customHeight="1" x14ac:dyDescent="0.2">
      <c r="A27" s="126" t="s">
        <v>92</v>
      </c>
      <c r="B27" s="126"/>
      <c r="C27" s="126"/>
      <c r="D27" s="126"/>
      <c r="E27" s="126"/>
      <c r="F27" s="31"/>
    </row>
    <row r="28" spans="1:6" ht="25.5" x14ac:dyDescent="0.2">
      <c r="A28" s="26" t="s">
        <v>49</v>
      </c>
      <c r="B28" s="26" t="s">
        <v>31</v>
      </c>
      <c r="C28" s="26" t="s">
        <v>146</v>
      </c>
      <c r="D28" s="26" t="s">
        <v>102</v>
      </c>
      <c r="E28" s="26" t="s">
        <v>76</v>
      </c>
      <c r="F28" s="32"/>
    </row>
    <row r="29" spans="1:6" s="2" customFormat="1" x14ac:dyDescent="0.2">
      <c r="A29" s="78" t="s">
        <v>177</v>
      </c>
      <c r="B29" s="75">
        <v>269.7</v>
      </c>
      <c r="C29" s="76" t="s">
        <v>217</v>
      </c>
      <c r="D29" s="76" t="s">
        <v>174</v>
      </c>
      <c r="E29" s="77" t="s">
        <v>185</v>
      </c>
      <c r="F29" s="1"/>
    </row>
    <row r="30" spans="1:6" s="2" customFormat="1" x14ac:dyDescent="0.2">
      <c r="A30" s="78" t="s">
        <v>177</v>
      </c>
      <c r="B30" s="75">
        <f>53.91/1.15</f>
        <v>46.878260869565217</v>
      </c>
      <c r="C30" s="76" t="s">
        <v>217</v>
      </c>
      <c r="D30" s="76" t="s">
        <v>173</v>
      </c>
      <c r="E30" s="77" t="s">
        <v>185</v>
      </c>
      <c r="F30" s="1"/>
    </row>
    <row r="31" spans="1:6" s="2" customFormat="1" x14ac:dyDescent="0.2">
      <c r="A31" s="78" t="s">
        <v>177</v>
      </c>
      <c r="B31" s="75">
        <f>58.5/1.15</f>
        <v>50.869565217391312</v>
      </c>
      <c r="C31" s="76" t="s">
        <v>217</v>
      </c>
      <c r="D31" s="76" t="s">
        <v>219</v>
      </c>
      <c r="E31" s="77" t="s">
        <v>184</v>
      </c>
      <c r="F31" s="1"/>
    </row>
    <row r="32" spans="1:6" s="2" customFormat="1" x14ac:dyDescent="0.2">
      <c r="A32" s="78" t="s">
        <v>178</v>
      </c>
      <c r="B32" s="75">
        <f>48.23/1.15</f>
        <v>41.939130434782612</v>
      </c>
      <c r="C32" s="76" t="s">
        <v>217</v>
      </c>
      <c r="D32" s="76" t="s">
        <v>173</v>
      </c>
      <c r="E32" s="77" t="s">
        <v>185</v>
      </c>
      <c r="F32" s="1"/>
    </row>
    <row r="33" spans="1:6" s="2" customFormat="1" x14ac:dyDescent="0.2">
      <c r="A33" s="78" t="s">
        <v>187</v>
      </c>
      <c r="B33" s="75">
        <v>207.82</v>
      </c>
      <c r="C33" s="115" t="s">
        <v>201</v>
      </c>
      <c r="D33" s="77" t="s">
        <v>174</v>
      </c>
      <c r="E33" s="77" t="s">
        <v>188</v>
      </c>
      <c r="F33" s="1"/>
    </row>
    <row r="34" spans="1:6" s="2" customFormat="1" x14ac:dyDescent="0.2">
      <c r="A34" s="78" t="s">
        <v>187</v>
      </c>
      <c r="B34" s="75">
        <f>23.4/1.15</f>
        <v>20.347826086956523</v>
      </c>
      <c r="C34" s="115" t="s">
        <v>201</v>
      </c>
      <c r="D34" s="77" t="s">
        <v>173</v>
      </c>
      <c r="E34" s="77" t="s">
        <v>188</v>
      </c>
      <c r="F34" s="1"/>
    </row>
    <row r="35" spans="1:6" s="2" customFormat="1" x14ac:dyDescent="0.2">
      <c r="A35" s="78" t="s">
        <v>187</v>
      </c>
      <c r="B35" s="75">
        <f>42/1.15</f>
        <v>36.521739130434788</v>
      </c>
      <c r="C35" s="115" t="s">
        <v>201</v>
      </c>
      <c r="D35" s="76" t="s">
        <v>219</v>
      </c>
      <c r="E35" s="77" t="s">
        <v>184</v>
      </c>
      <c r="F35" s="1"/>
    </row>
    <row r="36" spans="1:6" s="2" customFormat="1" x14ac:dyDescent="0.2">
      <c r="A36" s="78" t="s">
        <v>189</v>
      </c>
      <c r="B36" s="75">
        <v>433.26</v>
      </c>
      <c r="C36" s="76" t="s">
        <v>204</v>
      </c>
      <c r="D36" s="77" t="s">
        <v>174</v>
      </c>
      <c r="E36" s="77" t="s">
        <v>190</v>
      </c>
      <c r="F36" s="1"/>
    </row>
    <row r="37" spans="1:6" s="2" customFormat="1" x14ac:dyDescent="0.2">
      <c r="A37" s="78" t="s">
        <v>189</v>
      </c>
      <c r="B37" s="75">
        <f>47/1.15</f>
        <v>40.869565217391305</v>
      </c>
      <c r="C37" s="76" t="s">
        <v>204</v>
      </c>
      <c r="D37" s="76" t="s">
        <v>173</v>
      </c>
      <c r="E37" s="77" t="s">
        <v>190</v>
      </c>
    </row>
    <row r="38" spans="1:6" s="2" customFormat="1" x14ac:dyDescent="0.2">
      <c r="A38" s="78" t="s">
        <v>189</v>
      </c>
      <c r="B38" s="75">
        <f>57.3/1.15</f>
        <v>49.826086956521742</v>
      </c>
      <c r="C38" s="76" t="s">
        <v>204</v>
      </c>
      <c r="D38" s="76" t="s">
        <v>173</v>
      </c>
      <c r="E38" s="77" t="s">
        <v>190</v>
      </c>
    </row>
    <row r="39" spans="1:6" s="2" customFormat="1" x14ac:dyDescent="0.2">
      <c r="A39" s="78" t="s">
        <v>189</v>
      </c>
      <c r="B39" s="75">
        <f>42/1.15</f>
        <v>36.521739130434788</v>
      </c>
      <c r="C39" s="76" t="s">
        <v>204</v>
      </c>
      <c r="D39" s="76" t="s">
        <v>219</v>
      </c>
      <c r="E39" s="77" t="s">
        <v>184</v>
      </c>
    </row>
    <row r="40" spans="1:6" s="2" customFormat="1" ht="25.5" x14ac:dyDescent="0.2">
      <c r="A40" s="78" t="s">
        <v>180</v>
      </c>
      <c r="B40" s="75">
        <f>86.8/1.15</f>
        <v>75.478260869565219</v>
      </c>
      <c r="C40" s="76" t="s">
        <v>211</v>
      </c>
      <c r="D40" s="76" t="s">
        <v>173</v>
      </c>
      <c r="E40" s="77" t="s">
        <v>185</v>
      </c>
      <c r="F40" s="1"/>
    </row>
    <row r="41" spans="1:6" s="2" customFormat="1" ht="25.5" x14ac:dyDescent="0.2">
      <c r="A41" s="78" t="s">
        <v>180</v>
      </c>
      <c r="B41" s="75">
        <f>45.25/1.15</f>
        <v>39.347826086956523</v>
      </c>
      <c r="C41" s="76" t="s">
        <v>211</v>
      </c>
      <c r="D41" s="76" t="s">
        <v>173</v>
      </c>
      <c r="E41" s="77" t="s">
        <v>185</v>
      </c>
      <c r="F41" s="1"/>
    </row>
    <row r="42" spans="1:6" s="2" customFormat="1" ht="25.5" x14ac:dyDescent="0.2">
      <c r="A42" s="78" t="s">
        <v>180</v>
      </c>
      <c r="B42" s="75">
        <v>280.89</v>
      </c>
      <c r="C42" s="76" t="s">
        <v>211</v>
      </c>
      <c r="D42" s="76" t="s">
        <v>174</v>
      </c>
      <c r="E42" s="77" t="s">
        <v>185</v>
      </c>
    </row>
    <row r="43" spans="1:6" s="2" customFormat="1" ht="25.5" x14ac:dyDescent="0.2">
      <c r="A43" s="78" t="s">
        <v>180</v>
      </c>
      <c r="B43" s="75">
        <f>34/1.15</f>
        <v>29.565217391304351</v>
      </c>
      <c r="C43" s="76" t="s">
        <v>211</v>
      </c>
      <c r="D43" s="76" t="s">
        <v>219</v>
      </c>
      <c r="E43" s="77" t="s">
        <v>184</v>
      </c>
    </row>
    <row r="44" spans="1:6" s="2" customFormat="1" x14ac:dyDescent="0.2">
      <c r="A44" s="78" t="s">
        <v>183</v>
      </c>
      <c r="B44" s="75">
        <f>14.47/1.15</f>
        <v>12.582608695652176</v>
      </c>
      <c r="C44" s="76" t="s">
        <v>218</v>
      </c>
      <c r="D44" s="76" t="s">
        <v>173</v>
      </c>
      <c r="E44" s="77" t="s">
        <v>185</v>
      </c>
      <c r="F44" s="1"/>
    </row>
    <row r="45" spans="1:6" s="2" customFormat="1" x14ac:dyDescent="0.2">
      <c r="A45" s="78" t="s">
        <v>183</v>
      </c>
      <c r="B45" s="75">
        <f>50.5/1.15</f>
        <v>43.913043478260875</v>
      </c>
      <c r="C45" s="76" t="s">
        <v>218</v>
      </c>
      <c r="D45" s="76" t="s">
        <v>219</v>
      </c>
      <c r="E45" s="77" t="s">
        <v>184</v>
      </c>
      <c r="F45" s="1"/>
    </row>
    <row r="46" spans="1:6" s="2" customFormat="1" x14ac:dyDescent="0.2">
      <c r="A46" s="78" t="s">
        <v>193</v>
      </c>
      <c r="B46" s="75">
        <v>243.63</v>
      </c>
      <c r="C46" s="76" t="s">
        <v>218</v>
      </c>
      <c r="D46" s="76" t="s">
        <v>174</v>
      </c>
      <c r="E46" s="77" t="s">
        <v>185</v>
      </c>
      <c r="F46" s="1"/>
    </row>
    <row r="47" spans="1:6" s="2" customFormat="1" x14ac:dyDescent="0.2">
      <c r="A47" s="78" t="s">
        <v>193</v>
      </c>
      <c r="B47" s="75">
        <f>50/1.15</f>
        <v>43.478260869565219</v>
      </c>
      <c r="C47" s="76" t="s">
        <v>218</v>
      </c>
      <c r="D47" s="76" t="s">
        <v>173</v>
      </c>
      <c r="E47" s="77" t="s">
        <v>185</v>
      </c>
    </row>
    <row r="48" spans="1:6" s="2" customFormat="1" x14ac:dyDescent="0.2">
      <c r="A48" s="78" t="s">
        <v>193</v>
      </c>
      <c r="B48" s="75">
        <f>38/1.15</f>
        <v>33.04347826086957</v>
      </c>
      <c r="C48" s="76" t="s">
        <v>218</v>
      </c>
      <c r="D48" s="76" t="s">
        <v>173</v>
      </c>
      <c r="E48" s="77" t="s">
        <v>185</v>
      </c>
      <c r="F48" s="1"/>
    </row>
    <row r="49" spans="1:6" s="2" customFormat="1" x14ac:dyDescent="0.2">
      <c r="A49" s="116" t="s">
        <v>328</v>
      </c>
      <c r="B49" s="75">
        <f>420.74/1.15</f>
        <v>365.8608695652174</v>
      </c>
      <c r="C49" s="76" t="s">
        <v>314</v>
      </c>
      <c r="D49" s="76" t="s">
        <v>174</v>
      </c>
      <c r="E49" s="77" t="s">
        <v>315</v>
      </c>
      <c r="F49" s="1"/>
    </row>
    <row r="50" spans="1:6" s="2" customFormat="1" ht="25.5" x14ac:dyDescent="0.2">
      <c r="A50" s="76" t="s">
        <v>328</v>
      </c>
      <c r="B50" s="75">
        <v>60.7</v>
      </c>
      <c r="C50" s="76" t="s">
        <v>314</v>
      </c>
      <c r="D50" s="76" t="s">
        <v>173</v>
      </c>
      <c r="E50" s="77" t="s">
        <v>316</v>
      </c>
      <c r="F50" s="1"/>
    </row>
    <row r="51" spans="1:6" s="2" customFormat="1" x14ac:dyDescent="0.2">
      <c r="A51" s="78" t="s">
        <v>328</v>
      </c>
      <c r="B51" s="75">
        <v>57.74</v>
      </c>
      <c r="C51" s="76" t="s">
        <v>314</v>
      </c>
      <c r="D51" s="76" t="s">
        <v>173</v>
      </c>
      <c r="E51" s="77" t="s">
        <v>317</v>
      </c>
      <c r="F51" s="1"/>
    </row>
    <row r="52" spans="1:6" s="2" customFormat="1" x14ac:dyDescent="0.2">
      <c r="A52" s="78" t="s">
        <v>328</v>
      </c>
      <c r="B52" s="75">
        <f>34/1.15</f>
        <v>29.565217391304351</v>
      </c>
      <c r="C52" s="76" t="s">
        <v>314</v>
      </c>
      <c r="D52" s="76" t="s">
        <v>318</v>
      </c>
      <c r="E52" s="77" t="s">
        <v>319</v>
      </c>
      <c r="F52" s="1"/>
    </row>
    <row r="53" spans="1:6" s="2" customFormat="1" x14ac:dyDescent="0.2">
      <c r="A53" s="116" t="s">
        <v>329</v>
      </c>
      <c r="B53" s="75">
        <f>485.09/1.15</f>
        <v>421.81739130434784</v>
      </c>
      <c r="C53" s="76" t="s">
        <v>320</v>
      </c>
      <c r="D53" s="76" t="s">
        <v>174</v>
      </c>
      <c r="E53" s="77" t="s">
        <v>185</v>
      </c>
      <c r="F53" s="1"/>
    </row>
    <row r="54" spans="1:6" s="2" customFormat="1" x14ac:dyDescent="0.2">
      <c r="A54" s="116" t="s">
        <v>329</v>
      </c>
      <c r="B54" s="75">
        <f>185/1.15</f>
        <v>160.86956521739131</v>
      </c>
      <c r="C54" s="76" t="s">
        <v>320</v>
      </c>
      <c r="D54" s="77" t="s">
        <v>321</v>
      </c>
      <c r="E54" s="77" t="s">
        <v>185</v>
      </c>
      <c r="F54" s="1"/>
    </row>
    <row r="55" spans="1:6" s="2" customFormat="1" x14ac:dyDescent="0.2">
      <c r="A55" s="116" t="s">
        <v>329</v>
      </c>
      <c r="B55" s="75">
        <v>62.61</v>
      </c>
      <c r="C55" s="76" t="s">
        <v>320</v>
      </c>
      <c r="D55" s="77" t="s">
        <v>173</v>
      </c>
      <c r="E55" s="77" t="s">
        <v>315</v>
      </c>
      <c r="F55" s="1"/>
    </row>
    <row r="56" spans="1:6" s="2" customFormat="1" x14ac:dyDescent="0.2">
      <c r="A56" s="116" t="s">
        <v>329</v>
      </c>
      <c r="B56" s="75">
        <v>79.48</v>
      </c>
      <c r="C56" s="76" t="s">
        <v>320</v>
      </c>
      <c r="D56" s="77" t="s">
        <v>173</v>
      </c>
      <c r="E56" s="77" t="s">
        <v>317</v>
      </c>
      <c r="F56" s="1"/>
    </row>
    <row r="57" spans="1:6" s="2" customFormat="1" x14ac:dyDescent="0.2">
      <c r="A57" s="78" t="s">
        <v>330</v>
      </c>
      <c r="B57" s="75">
        <v>55.32</v>
      </c>
      <c r="C57" s="76" t="s">
        <v>322</v>
      </c>
      <c r="D57" s="76" t="s">
        <v>173</v>
      </c>
      <c r="E57" s="77" t="s">
        <v>407</v>
      </c>
      <c r="F57" s="1"/>
    </row>
    <row r="58" spans="1:6" s="2" customFormat="1" x14ac:dyDescent="0.2">
      <c r="A58" s="78" t="s">
        <v>330</v>
      </c>
      <c r="B58" s="75">
        <v>79.459999999999994</v>
      </c>
      <c r="C58" s="76" t="s">
        <v>322</v>
      </c>
      <c r="D58" s="76" t="s">
        <v>173</v>
      </c>
      <c r="E58" s="77" t="s">
        <v>317</v>
      </c>
      <c r="F58" s="1"/>
    </row>
    <row r="59" spans="1:6" s="2" customFormat="1" x14ac:dyDescent="0.2">
      <c r="A59" s="78" t="s">
        <v>330</v>
      </c>
      <c r="B59" s="75">
        <v>81.14</v>
      </c>
      <c r="C59" s="76" t="s">
        <v>322</v>
      </c>
      <c r="D59" s="76" t="s">
        <v>173</v>
      </c>
      <c r="E59" s="77" t="s">
        <v>323</v>
      </c>
      <c r="F59" s="1"/>
    </row>
    <row r="60" spans="1:6" s="2" customFormat="1" x14ac:dyDescent="0.2">
      <c r="A60" s="78" t="s">
        <v>331</v>
      </c>
      <c r="B60" s="75">
        <f>483.09/1.15</f>
        <v>420.07826086956521</v>
      </c>
      <c r="C60" s="115" t="s">
        <v>324</v>
      </c>
      <c r="D60" s="77" t="s">
        <v>174</v>
      </c>
      <c r="E60" s="77" t="s">
        <v>185</v>
      </c>
      <c r="F60" s="1"/>
    </row>
    <row r="61" spans="1:6" s="2" customFormat="1" x14ac:dyDescent="0.2">
      <c r="A61" s="78" t="s">
        <v>331</v>
      </c>
      <c r="B61" s="75">
        <f>185/1.15</f>
        <v>160.86956521739131</v>
      </c>
      <c r="C61" s="115" t="s">
        <v>324</v>
      </c>
      <c r="D61" s="77" t="s">
        <v>321</v>
      </c>
      <c r="E61" s="77" t="s">
        <v>185</v>
      </c>
      <c r="F61" s="1"/>
    </row>
    <row r="62" spans="1:6" s="2" customFormat="1" x14ac:dyDescent="0.2">
      <c r="A62" s="78" t="s">
        <v>331</v>
      </c>
      <c r="B62" s="75">
        <v>56.16</v>
      </c>
      <c r="C62" s="115" t="s">
        <v>324</v>
      </c>
      <c r="D62" s="76" t="s">
        <v>173</v>
      </c>
      <c r="E62" s="77" t="s">
        <v>407</v>
      </c>
      <c r="F62" s="1"/>
    </row>
    <row r="63" spans="1:6" s="2" customFormat="1" x14ac:dyDescent="0.2">
      <c r="A63" s="78" t="s">
        <v>331</v>
      </c>
      <c r="B63" s="75">
        <v>82.64</v>
      </c>
      <c r="C63" s="115" t="s">
        <v>324</v>
      </c>
      <c r="D63" s="76" t="s">
        <v>325</v>
      </c>
      <c r="E63" s="77" t="s">
        <v>326</v>
      </c>
      <c r="F63" s="1"/>
    </row>
    <row r="64" spans="1:6" s="2" customFormat="1" x14ac:dyDescent="0.2">
      <c r="A64" s="78" t="s">
        <v>331</v>
      </c>
      <c r="B64" s="75">
        <v>79.64</v>
      </c>
      <c r="C64" s="115" t="s">
        <v>324</v>
      </c>
      <c r="D64" s="76" t="s">
        <v>325</v>
      </c>
      <c r="E64" s="77" t="s">
        <v>323</v>
      </c>
      <c r="F64" s="1"/>
    </row>
    <row r="65" spans="1:6" s="2" customFormat="1" x14ac:dyDescent="0.2">
      <c r="A65" s="78" t="s">
        <v>332</v>
      </c>
      <c r="B65" s="75">
        <v>161.36000000000001</v>
      </c>
      <c r="C65" s="115" t="s">
        <v>327</v>
      </c>
      <c r="D65" s="76" t="s">
        <v>174</v>
      </c>
      <c r="E65" s="77" t="s">
        <v>185</v>
      </c>
      <c r="F65" s="1"/>
    </row>
    <row r="66" spans="1:6" s="2" customFormat="1" x14ac:dyDescent="0.2">
      <c r="A66" s="78" t="s">
        <v>332</v>
      </c>
      <c r="B66" s="75">
        <v>68</v>
      </c>
      <c r="C66" s="76" t="s">
        <v>341</v>
      </c>
      <c r="D66" s="76" t="s">
        <v>173</v>
      </c>
      <c r="E66" s="77" t="s">
        <v>342</v>
      </c>
      <c r="F66" s="1"/>
    </row>
    <row r="67" spans="1:6" s="2" customFormat="1" x14ac:dyDescent="0.2">
      <c r="A67" s="78" t="s">
        <v>332</v>
      </c>
      <c r="B67" s="75">
        <v>66.680000000000007</v>
      </c>
      <c r="C67" s="76" t="s">
        <v>341</v>
      </c>
      <c r="D67" s="76" t="s">
        <v>173</v>
      </c>
      <c r="E67" s="77" t="s">
        <v>343</v>
      </c>
      <c r="F67" s="1"/>
    </row>
    <row r="68" spans="1:6" s="2" customFormat="1" x14ac:dyDescent="0.2">
      <c r="A68" s="78" t="s">
        <v>344</v>
      </c>
      <c r="B68" s="75">
        <v>79.260000000000005</v>
      </c>
      <c r="C68" s="76" t="s">
        <v>341</v>
      </c>
      <c r="D68" s="76" t="s">
        <v>173</v>
      </c>
      <c r="E68" s="77" t="s">
        <v>345</v>
      </c>
      <c r="F68" s="1"/>
    </row>
    <row r="69" spans="1:6" ht="19.5" customHeight="1" x14ac:dyDescent="0.2">
      <c r="A69" s="88" t="s">
        <v>155</v>
      </c>
      <c r="B69" s="89">
        <f>SUM(B29:B68)</f>
        <v>4665.7334782608705</v>
      </c>
      <c r="C69" s="90" t="str">
        <f>IF(SUBTOTAL(3,B29:B42)=SUBTOTAL(103,B29:B42),'Summary and sign-off'!$A$47,'Summary and sign-off'!$A$48)</f>
        <v>Check - there are no hidden rows with data</v>
      </c>
      <c r="D69" s="131" t="str">
        <f>IF('Summary and sign-off'!F55='Summary and sign-off'!F53,'Summary and sign-off'!A50,'Summary and sign-off'!A49)</f>
        <v>Check - each entry provides sufficient information</v>
      </c>
      <c r="E69" s="131"/>
      <c r="F69" s="19"/>
    </row>
    <row r="70" spans="1:6" ht="10.5" customHeight="1" x14ac:dyDescent="0.2">
      <c r="A70" s="19"/>
      <c r="B70" s="21"/>
      <c r="C70" s="19"/>
      <c r="D70" s="19"/>
      <c r="E70" s="19"/>
      <c r="F70" s="19"/>
    </row>
    <row r="71" spans="1:6" ht="24.75" customHeight="1" x14ac:dyDescent="0.2">
      <c r="A71" s="126" t="s">
        <v>44</v>
      </c>
      <c r="B71" s="126"/>
      <c r="C71" s="126"/>
      <c r="D71" s="126"/>
      <c r="E71" s="126"/>
      <c r="F71" s="19"/>
    </row>
    <row r="72" spans="1:6" ht="27" customHeight="1" x14ac:dyDescent="0.2">
      <c r="A72" s="26" t="s">
        <v>49</v>
      </c>
      <c r="B72" s="26" t="s">
        <v>31</v>
      </c>
      <c r="C72" s="26" t="s">
        <v>147</v>
      </c>
      <c r="D72" s="26" t="s">
        <v>88</v>
      </c>
      <c r="E72" s="26" t="s">
        <v>76</v>
      </c>
      <c r="F72" s="30"/>
    </row>
    <row r="73" spans="1:6" s="2" customFormat="1" x14ac:dyDescent="0.2">
      <c r="A73" s="78" t="s">
        <v>175</v>
      </c>
      <c r="B73" s="75">
        <f>8.72/1.15</f>
        <v>7.5826086956521754</v>
      </c>
      <c r="C73" s="76" t="s">
        <v>210</v>
      </c>
      <c r="D73" s="76" t="s">
        <v>173</v>
      </c>
      <c r="E73" s="77" t="s">
        <v>184</v>
      </c>
      <c r="F73" s="1"/>
    </row>
    <row r="74" spans="1:6" s="2" customFormat="1" x14ac:dyDescent="0.2">
      <c r="A74" s="78" t="s">
        <v>175</v>
      </c>
      <c r="B74" s="75">
        <f>7.07/1.15</f>
        <v>6.1478260869565222</v>
      </c>
      <c r="C74" s="76" t="s">
        <v>210</v>
      </c>
      <c r="D74" s="76" t="s">
        <v>173</v>
      </c>
      <c r="E74" s="77" t="s">
        <v>184</v>
      </c>
      <c r="F74" s="1"/>
    </row>
    <row r="75" spans="1:6" s="2" customFormat="1" x14ac:dyDescent="0.2">
      <c r="A75" s="78" t="s">
        <v>186</v>
      </c>
      <c r="B75" s="75">
        <f>13/1.15</f>
        <v>11.304347826086957</v>
      </c>
      <c r="C75" s="76" t="s">
        <v>222</v>
      </c>
      <c r="D75" s="76" t="s">
        <v>173</v>
      </c>
      <c r="E75" s="77" t="s">
        <v>184</v>
      </c>
      <c r="F75" s="1"/>
    </row>
    <row r="76" spans="1:6" s="2" customFormat="1" x14ac:dyDescent="0.2">
      <c r="A76" s="78" t="s">
        <v>176</v>
      </c>
      <c r="B76" s="75">
        <f>6.93/1.15</f>
        <v>6.0260869565217394</v>
      </c>
      <c r="C76" s="76" t="s">
        <v>200</v>
      </c>
      <c r="D76" s="76" t="s">
        <v>173</v>
      </c>
      <c r="E76" s="77" t="s">
        <v>184</v>
      </c>
      <c r="F76" s="1"/>
    </row>
    <row r="77" spans="1:6" s="2" customFormat="1" x14ac:dyDescent="0.2">
      <c r="A77" s="78" t="s">
        <v>176</v>
      </c>
      <c r="B77" s="75">
        <f>10.86/1.15</f>
        <v>9.4434782608695649</v>
      </c>
      <c r="C77" s="76" t="s">
        <v>200</v>
      </c>
      <c r="D77" s="76" t="s">
        <v>173</v>
      </c>
      <c r="E77" s="77" t="s">
        <v>184</v>
      </c>
      <c r="F77" s="1"/>
    </row>
    <row r="78" spans="1:6" s="2" customFormat="1" x14ac:dyDescent="0.2">
      <c r="A78" s="78" t="s">
        <v>191</v>
      </c>
      <c r="B78" s="75">
        <f>11.4/1.15</f>
        <v>9.913043478260871</v>
      </c>
      <c r="C78" s="76" t="s">
        <v>200</v>
      </c>
      <c r="D78" s="76" t="s">
        <v>173</v>
      </c>
      <c r="E78" s="77" t="s">
        <v>184</v>
      </c>
    </row>
    <row r="79" spans="1:6" s="2" customFormat="1" x14ac:dyDescent="0.2">
      <c r="A79" s="78" t="s">
        <v>181</v>
      </c>
      <c r="B79" s="75">
        <f>14.07/1.15</f>
        <v>12.234782608695653</v>
      </c>
      <c r="C79" s="76" t="s">
        <v>220</v>
      </c>
      <c r="D79" s="76" t="s">
        <v>173</v>
      </c>
      <c r="E79" s="77" t="s">
        <v>184</v>
      </c>
      <c r="F79" s="1"/>
    </row>
    <row r="80" spans="1:6" s="2" customFormat="1" x14ac:dyDescent="0.2">
      <c r="A80" s="78" t="s">
        <v>182</v>
      </c>
      <c r="B80" s="75">
        <f>14.07/1.15</f>
        <v>12.234782608695653</v>
      </c>
      <c r="C80" s="76" t="s">
        <v>221</v>
      </c>
      <c r="D80" s="76" t="s">
        <v>173</v>
      </c>
      <c r="E80" s="77" t="s">
        <v>184</v>
      </c>
    </row>
    <row r="81" spans="1:6" s="2" customFormat="1" x14ac:dyDescent="0.2">
      <c r="A81" s="78" t="s">
        <v>182</v>
      </c>
      <c r="B81" s="75">
        <f>8/1.15</f>
        <v>6.9565217391304355</v>
      </c>
      <c r="C81" s="76" t="s">
        <v>221</v>
      </c>
      <c r="D81" s="76" t="s">
        <v>173</v>
      </c>
      <c r="E81" s="77" t="s">
        <v>184</v>
      </c>
    </row>
    <row r="82" spans="1:6" s="2" customFormat="1" x14ac:dyDescent="0.2">
      <c r="A82" s="116" t="s">
        <v>352</v>
      </c>
      <c r="B82" s="75">
        <v>7.83</v>
      </c>
      <c r="C82" s="76" t="s">
        <v>333</v>
      </c>
      <c r="D82" s="76" t="s">
        <v>173</v>
      </c>
      <c r="E82" s="77" t="s">
        <v>334</v>
      </c>
    </row>
    <row r="83" spans="1:6" s="2" customFormat="1" x14ac:dyDescent="0.2">
      <c r="A83" s="78" t="s">
        <v>352</v>
      </c>
      <c r="B83" s="75">
        <v>12.26</v>
      </c>
      <c r="C83" s="76" t="s">
        <v>333</v>
      </c>
      <c r="D83" s="76" t="s">
        <v>173</v>
      </c>
      <c r="E83" s="77" t="s">
        <v>335</v>
      </c>
    </row>
    <row r="84" spans="1:6" s="2" customFormat="1" x14ac:dyDescent="0.2">
      <c r="A84" s="78" t="s">
        <v>353</v>
      </c>
      <c r="B84" s="75">
        <v>13.99</v>
      </c>
      <c r="C84" s="76" t="s">
        <v>336</v>
      </c>
      <c r="D84" s="76" t="s">
        <v>173</v>
      </c>
      <c r="E84" s="77" t="s">
        <v>334</v>
      </c>
    </row>
    <row r="85" spans="1:6" s="2" customFormat="1" x14ac:dyDescent="0.2">
      <c r="A85" s="78" t="s">
        <v>337</v>
      </c>
      <c r="B85" s="75">
        <v>10.7</v>
      </c>
      <c r="C85" s="76" t="s">
        <v>338</v>
      </c>
      <c r="D85" s="76" t="s">
        <v>173</v>
      </c>
      <c r="E85" s="77" t="s">
        <v>339</v>
      </c>
    </row>
    <row r="86" spans="1:6" s="2" customFormat="1" x14ac:dyDescent="0.2">
      <c r="A86" s="78" t="s">
        <v>337</v>
      </c>
      <c r="B86" s="75">
        <v>7.32</v>
      </c>
      <c r="C86" s="76" t="s">
        <v>340</v>
      </c>
      <c r="D86" s="76" t="s">
        <v>173</v>
      </c>
      <c r="E86" s="77" t="s">
        <v>335</v>
      </c>
    </row>
    <row r="87" spans="1:6" s="2" customFormat="1" x14ac:dyDescent="0.2">
      <c r="A87" s="78" t="s">
        <v>346</v>
      </c>
      <c r="B87" s="75">
        <v>9.23</v>
      </c>
      <c r="C87" s="76" t="s">
        <v>347</v>
      </c>
      <c r="D87" s="76" t="s">
        <v>173</v>
      </c>
      <c r="E87" s="76" t="s">
        <v>348</v>
      </c>
    </row>
    <row r="88" spans="1:6" s="2" customFormat="1" x14ac:dyDescent="0.2">
      <c r="A88" s="78" t="s">
        <v>346</v>
      </c>
      <c r="B88" s="75">
        <v>17.5</v>
      </c>
      <c r="C88" s="76" t="s">
        <v>347</v>
      </c>
      <c r="D88" s="76" t="s">
        <v>173</v>
      </c>
      <c r="E88" s="76" t="s">
        <v>349</v>
      </c>
    </row>
    <row r="89" spans="1:6" s="2" customFormat="1" x14ac:dyDescent="0.2">
      <c r="A89" s="78" t="s">
        <v>408</v>
      </c>
      <c r="B89" s="75">
        <v>7.06</v>
      </c>
      <c r="C89" s="76" t="s">
        <v>200</v>
      </c>
      <c r="D89" s="76" t="s">
        <v>173</v>
      </c>
      <c r="E89" s="76" t="s">
        <v>334</v>
      </c>
    </row>
    <row r="90" spans="1:6" s="2" customFormat="1" x14ac:dyDescent="0.2">
      <c r="A90" s="78" t="s">
        <v>408</v>
      </c>
      <c r="B90" s="75">
        <v>8.56</v>
      </c>
      <c r="C90" s="76" t="s">
        <v>200</v>
      </c>
      <c r="D90" s="76" t="s">
        <v>173</v>
      </c>
      <c r="E90" s="76" t="s">
        <v>335</v>
      </c>
    </row>
    <row r="91" spans="1:6" s="2" customFormat="1" x14ac:dyDescent="0.2">
      <c r="A91" s="78" t="s">
        <v>350</v>
      </c>
      <c r="B91" s="75">
        <v>11.4</v>
      </c>
      <c r="C91" s="76" t="s">
        <v>351</v>
      </c>
      <c r="D91" s="76" t="s">
        <v>173</v>
      </c>
      <c r="E91" s="76" t="s">
        <v>339</v>
      </c>
    </row>
    <row r="92" spans="1:6" ht="19.5" customHeight="1" x14ac:dyDescent="0.2">
      <c r="A92" s="88" t="s">
        <v>152</v>
      </c>
      <c r="B92" s="89">
        <f>SUM(B73:B91)</f>
        <v>187.69347826086957</v>
      </c>
      <c r="C92" s="90" t="str">
        <f>IF(SUBTOTAL(3,B73:B91)=SUBTOTAL(103,B73:B91),'Summary and sign-off'!$A$47,'Summary and sign-off'!$A$48)</f>
        <v>Check - there are no hidden rows with data</v>
      </c>
      <c r="D92" s="124" t="str">
        <f>IF('Summary and sign-off'!F56='Summary and sign-off'!F53,'Summary and sign-off'!A50,'Summary and sign-off'!A49)</f>
        <v>Check - each entry provides sufficient information</v>
      </c>
      <c r="E92" s="124"/>
      <c r="F92" s="19"/>
    </row>
    <row r="93" spans="1:6" ht="10.5" customHeight="1" x14ac:dyDescent="0.2">
      <c r="A93" s="19"/>
      <c r="B93" s="63"/>
      <c r="C93" s="21"/>
      <c r="D93" s="19"/>
      <c r="E93" s="19"/>
      <c r="F93" s="19"/>
    </row>
    <row r="94" spans="1:6" ht="34.5" customHeight="1" x14ac:dyDescent="0.2">
      <c r="A94" s="33" t="s">
        <v>1</v>
      </c>
      <c r="B94" s="64">
        <f>B25+B69+B92</f>
        <v>7780.423913043478</v>
      </c>
      <c r="C94" s="34"/>
      <c r="D94" s="34"/>
      <c r="E94" s="34"/>
      <c r="F94" s="19"/>
    </row>
    <row r="95" spans="1:6" x14ac:dyDescent="0.2">
      <c r="A95" s="19"/>
      <c r="B95" s="21"/>
      <c r="C95" s="19"/>
      <c r="D95" s="19"/>
      <c r="E95" s="19"/>
      <c r="F95" s="19"/>
    </row>
    <row r="96" spans="1:6" x14ac:dyDescent="0.2">
      <c r="A96" s="20" t="s">
        <v>8</v>
      </c>
      <c r="B96" s="21"/>
      <c r="C96" s="19"/>
      <c r="D96" s="19"/>
      <c r="E96" s="19"/>
      <c r="F96" s="19"/>
    </row>
    <row r="97" spans="1:6" ht="12.6" customHeight="1" x14ac:dyDescent="0.2">
      <c r="A97" s="22" t="s">
        <v>50</v>
      </c>
      <c r="F97" s="19"/>
    </row>
    <row r="98" spans="1:6" ht="12.95" customHeight="1" x14ac:dyDescent="0.2">
      <c r="A98" s="22" t="s">
        <v>156</v>
      </c>
      <c r="B98" s="19"/>
      <c r="D98" s="19"/>
      <c r="F98" s="19"/>
    </row>
    <row r="99" spans="1:6" x14ac:dyDescent="0.2">
      <c r="A99" s="22" t="s">
        <v>149</v>
      </c>
      <c r="F99" s="19"/>
    </row>
    <row r="100" spans="1:6" x14ac:dyDescent="0.2">
      <c r="A100" s="22" t="s">
        <v>157</v>
      </c>
      <c r="B100" s="21"/>
      <c r="C100" s="19"/>
      <c r="D100" s="19"/>
      <c r="E100" s="19"/>
      <c r="F100" s="19"/>
    </row>
    <row r="101" spans="1:6" ht="12.95" customHeight="1" x14ac:dyDescent="0.2">
      <c r="A101" s="22" t="s">
        <v>148</v>
      </c>
      <c r="B101" s="19"/>
      <c r="D101" s="19"/>
      <c r="F101" s="19"/>
    </row>
    <row r="102" spans="1:6" x14ac:dyDescent="0.2">
      <c r="A102" s="22" t="s">
        <v>153</v>
      </c>
      <c r="F102" s="19"/>
    </row>
    <row r="103" spans="1:6" x14ac:dyDescent="0.2">
      <c r="A103" s="22" t="s">
        <v>165</v>
      </c>
      <c r="B103" s="22"/>
      <c r="C103" s="22"/>
      <c r="D103" s="22"/>
      <c r="F103" s="19"/>
    </row>
    <row r="104" spans="1:6" x14ac:dyDescent="0.2">
      <c r="A104" s="28"/>
      <c r="B104" s="19"/>
      <c r="C104" s="19"/>
      <c r="D104" s="19"/>
      <c r="E104" s="19"/>
      <c r="F104" s="19"/>
    </row>
    <row r="105" spans="1:6" hidden="1" x14ac:dyDescent="0.2">
      <c r="A105" s="28"/>
      <c r="B105" s="19"/>
      <c r="C105" s="19"/>
      <c r="D105" s="19"/>
      <c r="E105" s="19"/>
      <c r="F105" s="19"/>
    </row>
    <row r="106" spans="1:6" hidden="1" x14ac:dyDescent="0.2"/>
    <row r="107" spans="1:6" hidden="1" x14ac:dyDescent="0.2"/>
    <row r="108" spans="1:6" hidden="1" x14ac:dyDescent="0.2"/>
    <row r="109" spans="1:6" hidden="1" x14ac:dyDescent="0.2"/>
    <row r="110" spans="1:6" ht="12.75" hidden="1" customHeight="1" x14ac:dyDescent="0.2"/>
    <row r="111" spans="1:6" hidden="1" x14ac:dyDescent="0.2"/>
    <row r="112" spans="1:6" hidden="1" x14ac:dyDescent="0.2"/>
    <row r="113" spans="1:6" hidden="1" x14ac:dyDescent="0.2">
      <c r="A113" s="28"/>
      <c r="B113" s="19"/>
      <c r="C113" s="19"/>
      <c r="D113" s="19"/>
      <c r="E113" s="19"/>
      <c r="F113" s="19"/>
    </row>
    <row r="114" spans="1:6" hidden="1" x14ac:dyDescent="0.2">
      <c r="A114" s="28"/>
      <c r="B114" s="19"/>
      <c r="C114" s="19"/>
      <c r="D114" s="19"/>
      <c r="E114" s="19"/>
      <c r="F114" s="19"/>
    </row>
    <row r="115" spans="1:6" hidden="1" x14ac:dyDescent="0.2">
      <c r="A115" s="28"/>
      <c r="B115" s="19"/>
      <c r="C115" s="19"/>
      <c r="D115" s="19"/>
      <c r="E115" s="19"/>
      <c r="F115" s="19"/>
    </row>
    <row r="116" spans="1:6" hidden="1" x14ac:dyDescent="0.2">
      <c r="A116" s="28"/>
      <c r="B116" s="19"/>
      <c r="C116" s="19"/>
      <c r="D116" s="19"/>
      <c r="E116" s="19"/>
      <c r="F116" s="19"/>
    </row>
    <row r="117" spans="1:6" hidden="1" x14ac:dyDescent="0.2">
      <c r="A117" s="28"/>
      <c r="B117" s="19"/>
      <c r="C117" s="19"/>
      <c r="D117" s="19"/>
      <c r="E117" s="19"/>
      <c r="F117" s="19"/>
    </row>
    <row r="118" spans="1:6" hidden="1" x14ac:dyDescent="0.2"/>
    <row r="119" spans="1:6" hidden="1" x14ac:dyDescent="0.2"/>
    <row r="120" spans="1:6" hidden="1" x14ac:dyDescent="0.2"/>
    <row r="121" spans="1:6" hidden="1" x14ac:dyDescent="0.2"/>
    <row r="122" spans="1:6" hidden="1" x14ac:dyDescent="0.2"/>
    <row r="123" spans="1:6" hidden="1" x14ac:dyDescent="0.2"/>
    <row r="124" spans="1:6" hidden="1" x14ac:dyDescent="0.2"/>
    <row r="125" spans="1:6" x14ac:dyDescent="0.2"/>
    <row r="126" spans="1:6" x14ac:dyDescent="0.2"/>
    <row r="127" spans="1:6" x14ac:dyDescent="0.2"/>
    <row r="128" spans="1:6"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sheetData>
  <sheetProtection formatCells="0" formatRows="0" insertColumns="0" insertRows="0" deleteRows="0"/>
  <mergeCells count="15">
    <mergeCell ref="D92:E92"/>
    <mergeCell ref="B7:E7"/>
    <mergeCell ref="B5:E5"/>
    <mergeCell ref="A1:E1"/>
    <mergeCell ref="A27:E27"/>
    <mergeCell ref="A71:E71"/>
    <mergeCell ref="B2:E2"/>
    <mergeCell ref="B3:E3"/>
    <mergeCell ref="B4:E4"/>
    <mergeCell ref="A8:E8"/>
    <mergeCell ref="A9:E9"/>
    <mergeCell ref="B6:E6"/>
    <mergeCell ref="D25:E25"/>
    <mergeCell ref="D69:E69"/>
    <mergeCell ref="A10:E10"/>
  </mergeCells>
  <dataValidations disablePrompts="1"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35:A46 A29:A32 A73:A79 A13:A24 A49:A59 A81:A86 A61:A68">
      <formula1>$B$4</formula1>
      <formula2>$B$5</formula2>
    </dataValidation>
    <dataValidation allowBlank="1" showInputMessage="1" showErrorMessage="1" prompt="Insert additional rows as needed:_x000a_- 'right click' on a row number (left of screen)_x000a_- select 'Insert' (this will insert a row above it)" sqref="A72 A28 A11:A12 A19"/>
  </dataValidations>
  <pageMargins left="0.70866141732283472" right="0.70866141732283472" top="0.54" bottom="0.3" header="0.31496062992125984" footer="0.17"/>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B13:B18 B73:B79 B29:B32 B35:B46 B48 B81</xm:sqref>
        </x14:dataValidation>
        <x14:dataValidation type="decimal" operator="greaterThan" allowBlank="1" showInputMessage="1" showErrorMessage="1" error="This cell must contain a dollar figure">
          <x14:formula1>
            <xm:f>'C:\Users\wallacej\Objective\objective-8008-wallacej\Objects\[2019-02-20 CE Expenses 1 January - 30 June 2019.xlsx]Summary and sign-off'!#REF!</xm:f>
          </x14:formula1>
          <xm:sqref>B19:B24 B49:B53 B56:B59 B82:B86 B61:B68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topLeftCell="A10" zoomScaleNormal="100" workbookViewId="0">
      <selection activeCell="A14" sqref="A14:XFD14"/>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9.28515625" customWidth="1"/>
    <col min="7" max="10" width="9.140625" hidden="1" customWidth="1"/>
    <col min="11" max="13" width="0" hidden="1" customWidth="1"/>
  </cols>
  <sheetData>
    <row r="1" spans="1:6" ht="26.25" customHeight="1" x14ac:dyDescent="0.2">
      <c r="A1" s="121" t="s">
        <v>6</v>
      </c>
      <c r="B1" s="121"/>
      <c r="C1" s="121"/>
      <c r="D1" s="121"/>
      <c r="E1" s="121"/>
    </row>
    <row r="2" spans="1:6" ht="21" customHeight="1" x14ac:dyDescent="0.2">
      <c r="A2" s="3" t="s">
        <v>2</v>
      </c>
      <c r="B2" s="125" t="str">
        <f>'Summary and sign-off'!B2:F2</f>
        <v>PHARMAC</v>
      </c>
      <c r="C2" s="125"/>
      <c r="D2" s="125"/>
      <c r="E2" s="125"/>
    </row>
    <row r="3" spans="1:6" ht="21" customHeight="1" x14ac:dyDescent="0.2">
      <c r="A3" s="3" t="s">
        <v>3</v>
      </c>
      <c r="B3" s="125" t="str">
        <f>'Summary and sign-off'!B3:F3</f>
        <v>Sarah Fitt</v>
      </c>
      <c r="C3" s="125"/>
      <c r="D3" s="125"/>
      <c r="E3" s="125"/>
    </row>
    <row r="4" spans="1:6" ht="21" customHeight="1" x14ac:dyDescent="0.2">
      <c r="A4" s="3" t="s">
        <v>77</v>
      </c>
      <c r="B4" s="125">
        <f>'Summary and sign-off'!B4:F4</f>
        <v>43282</v>
      </c>
      <c r="C4" s="125"/>
      <c r="D4" s="125"/>
      <c r="E4" s="125"/>
    </row>
    <row r="5" spans="1:6" ht="21" customHeight="1" x14ac:dyDescent="0.2">
      <c r="A5" s="3" t="s">
        <v>78</v>
      </c>
      <c r="B5" s="125">
        <f>'Summary and sign-off'!B5:F5</f>
        <v>43646</v>
      </c>
      <c r="C5" s="125"/>
      <c r="D5" s="125"/>
      <c r="E5" s="125"/>
    </row>
    <row r="6" spans="1:6" ht="21" customHeight="1" x14ac:dyDescent="0.2">
      <c r="A6" s="3" t="s">
        <v>29</v>
      </c>
      <c r="B6" s="119" t="s">
        <v>64</v>
      </c>
      <c r="C6" s="119"/>
      <c r="D6" s="119"/>
      <c r="E6" s="119"/>
    </row>
    <row r="7" spans="1:6" ht="21" customHeight="1" x14ac:dyDescent="0.2">
      <c r="A7" s="3" t="s">
        <v>104</v>
      </c>
      <c r="B7" s="119" t="s">
        <v>116</v>
      </c>
      <c r="C7" s="119"/>
      <c r="D7" s="119"/>
      <c r="E7" s="119"/>
    </row>
    <row r="8" spans="1:6" ht="35.25" customHeight="1" x14ac:dyDescent="0.25">
      <c r="A8" s="135" t="s">
        <v>158</v>
      </c>
      <c r="B8" s="135"/>
      <c r="C8" s="136"/>
      <c r="D8" s="136"/>
      <c r="E8" s="136"/>
      <c r="F8" s="29"/>
    </row>
    <row r="9" spans="1:6" ht="35.25" customHeight="1" x14ac:dyDescent="0.25">
      <c r="A9" s="133" t="s">
        <v>135</v>
      </c>
      <c r="B9" s="134"/>
      <c r="C9" s="134"/>
      <c r="D9" s="134"/>
      <c r="E9" s="134"/>
      <c r="F9" s="29"/>
    </row>
    <row r="10" spans="1:6" ht="27" customHeight="1" x14ac:dyDescent="0.2">
      <c r="A10" s="26" t="s">
        <v>161</v>
      </c>
      <c r="B10" s="26" t="s">
        <v>31</v>
      </c>
      <c r="C10" s="26" t="s">
        <v>89</v>
      </c>
      <c r="D10" s="26" t="s">
        <v>87</v>
      </c>
      <c r="E10" s="26" t="s">
        <v>76</v>
      </c>
      <c r="F10" s="22"/>
    </row>
    <row r="11" spans="1:6" s="2" customFormat="1" hidden="1" x14ac:dyDescent="0.2">
      <c r="A11" s="74"/>
      <c r="B11" s="75"/>
      <c r="C11" s="80"/>
      <c r="D11" s="80"/>
      <c r="E11" s="81"/>
    </row>
    <row r="12" spans="1:6" s="2" customFormat="1" ht="25.5" x14ac:dyDescent="0.2">
      <c r="A12" s="78" t="s">
        <v>376</v>
      </c>
      <c r="B12" s="75">
        <v>13.29</v>
      </c>
      <c r="C12" s="80" t="s">
        <v>388</v>
      </c>
      <c r="D12" s="80" t="s">
        <v>389</v>
      </c>
      <c r="E12" s="81" t="s">
        <v>390</v>
      </c>
    </row>
    <row r="13" spans="1:6" s="2" customFormat="1" ht="25.5" x14ac:dyDescent="0.2">
      <c r="A13" s="78" t="s">
        <v>376</v>
      </c>
      <c r="B13" s="75">
        <v>89.7</v>
      </c>
      <c r="C13" s="80" t="s">
        <v>391</v>
      </c>
      <c r="D13" s="80" t="s">
        <v>392</v>
      </c>
      <c r="E13" s="81" t="s">
        <v>390</v>
      </c>
    </row>
    <row r="14" spans="1:6" s="2" customFormat="1" ht="11.25" hidden="1" customHeight="1" x14ac:dyDescent="0.2">
      <c r="A14" s="74"/>
      <c r="B14" s="75"/>
      <c r="C14" s="80"/>
      <c r="D14" s="80"/>
      <c r="E14" s="81"/>
    </row>
    <row r="15" spans="1:6" ht="34.5" customHeight="1" x14ac:dyDescent="0.2">
      <c r="A15" s="56" t="s">
        <v>129</v>
      </c>
      <c r="B15" s="68">
        <f>SUM(B11:B14)</f>
        <v>102.99000000000001</v>
      </c>
      <c r="C15" s="87" t="str">
        <f>IF(SUBTOTAL(3,B11:B14)=SUBTOTAL(103,B11:B14),'Summary and sign-off'!$A$47,'Summary and sign-off'!$A$48)</f>
        <v>Check - there are no hidden rows with data</v>
      </c>
      <c r="D15" s="131" t="str">
        <f>IF('Summary and sign-off'!F57='Summary and sign-off'!F53,'Summary and sign-off'!A50,'Summary and sign-off'!A49)</f>
        <v>Check - each entry provides sufficient information</v>
      </c>
      <c r="E15" s="131"/>
      <c r="F15" s="2"/>
    </row>
    <row r="16" spans="1:6" x14ac:dyDescent="0.2">
      <c r="A16" s="20"/>
      <c r="B16" s="19"/>
      <c r="C16" s="19"/>
      <c r="D16" s="19"/>
      <c r="E16" s="19"/>
    </row>
    <row r="17" spans="1:6" x14ac:dyDescent="0.2">
      <c r="A17" s="20" t="s">
        <v>8</v>
      </c>
      <c r="B17" s="21"/>
      <c r="C17" s="19"/>
      <c r="D17" s="19"/>
      <c r="E17" s="19"/>
    </row>
    <row r="18" spans="1:6" ht="12.75" customHeight="1" x14ac:dyDescent="0.2">
      <c r="A18" s="22" t="s">
        <v>160</v>
      </c>
      <c r="B18" s="22"/>
      <c r="C18" s="22"/>
      <c r="D18" s="22"/>
      <c r="E18" s="22"/>
    </row>
    <row r="19" spans="1:6" x14ac:dyDescent="0.2">
      <c r="A19" s="22" t="s">
        <v>159</v>
      </c>
      <c r="B19" s="22"/>
      <c r="C19" s="30"/>
      <c r="D19" s="30"/>
      <c r="E19" s="30"/>
    </row>
    <row r="20" spans="1:6" x14ac:dyDescent="0.2">
      <c r="A20" s="22" t="s">
        <v>157</v>
      </c>
      <c r="B20" s="21"/>
      <c r="C20" s="19"/>
      <c r="D20" s="19"/>
      <c r="E20" s="19"/>
      <c r="F20" s="19"/>
    </row>
    <row r="21" spans="1:6" x14ac:dyDescent="0.2">
      <c r="A21" s="22" t="s">
        <v>13</v>
      </c>
      <c r="B21" s="22"/>
      <c r="C21" s="30"/>
      <c r="D21" s="30"/>
      <c r="E21" s="30"/>
    </row>
    <row r="22" spans="1:6" ht="12.75" customHeight="1" x14ac:dyDescent="0.2">
      <c r="A22" s="22" t="s">
        <v>166</v>
      </c>
      <c r="B22" s="22"/>
      <c r="C22" s="24"/>
      <c r="D22" s="24"/>
      <c r="E22" s="24"/>
    </row>
    <row r="23" spans="1:6" x14ac:dyDescent="0.2">
      <c r="A23" s="19"/>
      <c r="B23" s="19"/>
      <c r="C23" s="19"/>
      <c r="D23" s="19"/>
      <c r="E23" s="19"/>
    </row>
    <row r="24" spans="1:6" hidden="1" x14ac:dyDescent="0.2"/>
    <row r="25" spans="1:6" hidden="1" x14ac:dyDescent="0.2"/>
    <row r="26" spans="1:6" hidden="1" x14ac:dyDescent="0.2"/>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sheetData>
  <sheetProtection sheet="1" formatCells="0" insertRows="0" deleteRows="0"/>
  <mergeCells count="10">
    <mergeCell ref="D15:E15"/>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4">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2"/>
  <sheetViews>
    <sheetView topLeftCell="A4" zoomScaleNormal="100" workbookViewId="0">
      <selection activeCell="B17" sqref="B17"/>
    </sheetView>
  </sheetViews>
  <sheetFormatPr defaultColWidth="0" defaultRowHeight="12.75" zeroHeight="1" x14ac:dyDescent="0.2"/>
  <cols>
    <col min="1" max="1" width="35.7109375" customWidth="1"/>
    <col min="2" max="2" width="14.28515625" customWidth="1"/>
    <col min="3" max="3" width="71.42578125" customWidth="1"/>
    <col min="4" max="4" width="50" customWidth="1"/>
    <col min="5" max="5" width="21.42578125" customWidth="1"/>
    <col min="6" max="6" width="36.85546875" customWidth="1"/>
    <col min="7" max="10" width="9.140625" hidden="1" customWidth="1"/>
    <col min="11" max="13" width="0" hidden="1" customWidth="1"/>
    <col min="14" max="16384" width="9.140625" hidden="1"/>
  </cols>
  <sheetData>
    <row r="1" spans="1:6" ht="26.25" customHeight="1" x14ac:dyDescent="0.2">
      <c r="A1" s="121" t="s">
        <v>6</v>
      </c>
      <c r="B1" s="121"/>
      <c r="C1" s="121"/>
      <c r="D1" s="121"/>
      <c r="E1" s="121"/>
    </row>
    <row r="2" spans="1:6" ht="21" customHeight="1" x14ac:dyDescent="0.2">
      <c r="A2" s="3" t="s">
        <v>2</v>
      </c>
      <c r="B2" s="125" t="str">
        <f>'Summary and sign-off'!B2:F2</f>
        <v>PHARMAC</v>
      </c>
      <c r="C2" s="125"/>
      <c r="D2" s="125"/>
      <c r="E2" s="125"/>
    </row>
    <row r="3" spans="1:6" ht="21" customHeight="1" x14ac:dyDescent="0.2">
      <c r="A3" s="3" t="s">
        <v>3</v>
      </c>
      <c r="B3" s="125" t="str">
        <f>'Summary and sign-off'!B3:F3</f>
        <v>Sarah Fitt</v>
      </c>
      <c r="C3" s="125"/>
      <c r="D3" s="125"/>
      <c r="E3" s="125"/>
    </row>
    <row r="4" spans="1:6" ht="21" customHeight="1" x14ac:dyDescent="0.2">
      <c r="A4" s="3" t="s">
        <v>77</v>
      </c>
      <c r="B4" s="125">
        <f>'Summary and sign-off'!B4:F4</f>
        <v>43282</v>
      </c>
      <c r="C4" s="125"/>
      <c r="D4" s="125"/>
      <c r="E4" s="125"/>
    </row>
    <row r="5" spans="1:6" ht="21" customHeight="1" x14ac:dyDescent="0.2">
      <c r="A5" s="3" t="s">
        <v>78</v>
      </c>
      <c r="B5" s="125">
        <f>'Summary and sign-off'!B5:F5</f>
        <v>43646</v>
      </c>
      <c r="C5" s="125"/>
      <c r="D5" s="125"/>
      <c r="E5" s="125"/>
    </row>
    <row r="6" spans="1:6" ht="21" customHeight="1" x14ac:dyDescent="0.2">
      <c r="A6" s="3" t="s">
        <v>29</v>
      </c>
      <c r="B6" s="119" t="s">
        <v>64</v>
      </c>
      <c r="C6" s="119"/>
      <c r="D6" s="119"/>
      <c r="E6" s="119"/>
      <c r="F6" s="25"/>
    </row>
    <row r="7" spans="1:6" ht="21" customHeight="1" x14ac:dyDescent="0.2">
      <c r="A7" s="3" t="s">
        <v>104</v>
      </c>
      <c r="B7" s="119" t="s">
        <v>116</v>
      </c>
      <c r="C7" s="119"/>
      <c r="D7" s="119"/>
      <c r="E7" s="119"/>
      <c r="F7" s="25"/>
    </row>
    <row r="8" spans="1:6" ht="35.25" customHeight="1" x14ac:dyDescent="0.2">
      <c r="A8" s="128" t="s">
        <v>0</v>
      </c>
      <c r="B8" s="128"/>
      <c r="C8" s="136"/>
      <c r="D8" s="136"/>
      <c r="E8" s="136"/>
    </row>
    <row r="9" spans="1:6" ht="35.25" customHeight="1" x14ac:dyDescent="0.2">
      <c r="A9" s="137" t="s">
        <v>127</v>
      </c>
      <c r="B9" s="138"/>
      <c r="C9" s="138"/>
      <c r="D9" s="138"/>
      <c r="E9" s="138"/>
    </row>
    <row r="10" spans="1:6" ht="27" customHeight="1" x14ac:dyDescent="0.2">
      <c r="A10" s="26" t="s">
        <v>49</v>
      </c>
      <c r="B10" s="26" t="s">
        <v>31</v>
      </c>
      <c r="C10" s="26" t="s">
        <v>51</v>
      </c>
      <c r="D10" s="26" t="s">
        <v>162</v>
      </c>
      <c r="E10" s="26" t="s">
        <v>76</v>
      </c>
      <c r="F10" s="22"/>
    </row>
    <row r="11" spans="1:6" s="2" customFormat="1" hidden="1" x14ac:dyDescent="0.2">
      <c r="A11" s="74"/>
      <c r="B11" s="75"/>
      <c r="C11" s="80"/>
      <c r="D11" s="80"/>
      <c r="E11" s="81"/>
    </row>
    <row r="12" spans="1:6" s="2" customFormat="1" x14ac:dyDescent="0.2">
      <c r="A12" s="80" t="s">
        <v>194</v>
      </c>
      <c r="B12" s="75">
        <v>295</v>
      </c>
      <c r="C12" s="80" t="s">
        <v>209</v>
      </c>
      <c r="D12" s="80" t="s">
        <v>195</v>
      </c>
      <c r="E12" s="81" t="s">
        <v>184</v>
      </c>
    </row>
    <row r="13" spans="1:6" s="2" customFormat="1" x14ac:dyDescent="0.2">
      <c r="A13" s="78" t="s">
        <v>205</v>
      </c>
      <c r="B13" s="75">
        <v>295</v>
      </c>
      <c r="C13" s="80" t="s">
        <v>209</v>
      </c>
      <c r="D13" s="80" t="s">
        <v>195</v>
      </c>
      <c r="E13" s="81" t="s">
        <v>184</v>
      </c>
    </row>
    <row r="14" spans="1:6" s="2" customFormat="1" x14ac:dyDescent="0.2">
      <c r="A14" s="80" t="s">
        <v>197</v>
      </c>
      <c r="B14" s="75">
        <v>295</v>
      </c>
      <c r="C14" s="80" t="s">
        <v>209</v>
      </c>
      <c r="D14" s="80" t="s">
        <v>195</v>
      </c>
      <c r="E14" s="81" t="s">
        <v>184</v>
      </c>
    </row>
    <row r="15" spans="1:6" s="2" customFormat="1" ht="25.5" x14ac:dyDescent="0.2">
      <c r="A15" s="80" t="s">
        <v>182</v>
      </c>
      <c r="B15" s="75">
        <f>230/1.15</f>
        <v>200.00000000000003</v>
      </c>
      <c r="C15" s="80" t="s">
        <v>212</v>
      </c>
      <c r="D15" s="76" t="s">
        <v>213</v>
      </c>
      <c r="E15" s="77" t="s">
        <v>196</v>
      </c>
    </row>
    <row r="16" spans="1:6" s="2" customFormat="1" hidden="1" x14ac:dyDescent="0.2">
      <c r="A16" s="74"/>
      <c r="B16" s="75"/>
      <c r="C16" s="80"/>
      <c r="D16" s="80"/>
      <c r="E16" s="81"/>
    </row>
    <row r="17" spans="1:6" ht="34.5" customHeight="1" x14ac:dyDescent="0.2">
      <c r="A17" s="56" t="s">
        <v>136</v>
      </c>
      <c r="B17" s="68">
        <f>SUM(B11:B16)</f>
        <v>1085</v>
      </c>
      <c r="C17" s="87" t="str">
        <f>IF(SUBTOTAL(3,B11:B16)=SUBTOTAL(103,B11:B16),'Summary and sign-off'!$A$47,'Summary and sign-off'!$A$48)</f>
        <v>Check - there are no hidden rows with data</v>
      </c>
      <c r="D17" s="131" t="str">
        <f>IF('Summary and sign-off'!F58='Summary and sign-off'!F53,'Summary and sign-off'!A50,'Summary and sign-off'!A49)</f>
        <v>Check - each entry provides sufficient information</v>
      </c>
      <c r="E17" s="131"/>
    </row>
    <row r="18" spans="1:6" ht="14.1" customHeight="1" x14ac:dyDescent="0.2">
      <c r="B18" s="19"/>
      <c r="C18" s="19"/>
      <c r="D18" s="19"/>
      <c r="E18" s="19"/>
    </row>
    <row r="19" spans="1:6" x14ac:dyDescent="0.2">
      <c r="A19" s="20" t="s">
        <v>7</v>
      </c>
      <c r="B19" s="19"/>
      <c r="C19" s="19"/>
      <c r="D19" s="19"/>
      <c r="E19" s="19"/>
    </row>
    <row r="20" spans="1:6" ht="12.6" customHeight="1" x14ac:dyDescent="0.2">
      <c r="A20" s="22" t="s">
        <v>50</v>
      </c>
      <c r="B20" s="19"/>
      <c r="C20" s="19"/>
      <c r="D20" s="19"/>
      <c r="E20" s="19"/>
    </row>
    <row r="21" spans="1:6" x14ac:dyDescent="0.2">
      <c r="A21" s="22" t="s">
        <v>157</v>
      </c>
      <c r="B21" s="21"/>
      <c r="C21" s="19"/>
      <c r="D21" s="19"/>
      <c r="E21" s="19"/>
      <c r="F21" s="19"/>
    </row>
    <row r="22" spans="1:6" x14ac:dyDescent="0.2">
      <c r="A22" s="22" t="s">
        <v>13</v>
      </c>
      <c r="C22" s="19"/>
      <c r="D22" s="19"/>
      <c r="E22" s="19"/>
      <c r="F22" s="19"/>
    </row>
    <row r="23" spans="1:6" ht="12.75" customHeight="1" x14ac:dyDescent="0.2">
      <c r="A23" s="22" t="s">
        <v>166</v>
      </c>
      <c r="B23" s="27"/>
      <c r="C23" s="24"/>
      <c r="D23" s="24"/>
      <c r="E23" s="24"/>
      <c r="F23" s="24"/>
    </row>
    <row r="24" spans="1:6" x14ac:dyDescent="0.2">
      <c r="B24" s="28"/>
      <c r="C24" s="19"/>
      <c r="D24" s="19"/>
      <c r="E24" s="19"/>
    </row>
    <row r="25" spans="1:6" hidden="1" x14ac:dyDescent="0.2">
      <c r="A25" s="19"/>
      <c r="B25" s="19"/>
      <c r="C25" s="19"/>
      <c r="D25" s="19"/>
    </row>
    <row r="26" spans="1:6" ht="12.75" hidden="1" customHeight="1" x14ac:dyDescent="0.2"/>
    <row r="27" spans="1:6" hidden="1" x14ac:dyDescent="0.2">
      <c r="A27" s="19"/>
      <c r="B27" s="19"/>
      <c r="C27" s="19"/>
      <c r="D27" s="19"/>
      <c r="E27" s="19"/>
    </row>
    <row r="28" spans="1:6" hidden="1" x14ac:dyDescent="0.2">
      <c r="A28" s="19"/>
      <c r="B28" s="19"/>
      <c r="C28" s="19"/>
      <c r="D28" s="19"/>
      <c r="E28" s="19"/>
    </row>
    <row r="29" spans="1:6" hidden="1" x14ac:dyDescent="0.2">
      <c r="A29" s="19"/>
      <c r="B29" s="19"/>
      <c r="C29" s="19"/>
      <c r="D29" s="19"/>
      <c r="E29" s="19"/>
    </row>
    <row r="30" spans="1:6" hidden="1" x14ac:dyDescent="0.2">
      <c r="A30" s="19"/>
      <c r="B30" s="19"/>
      <c r="C30" s="19"/>
      <c r="D30" s="19"/>
      <c r="E30" s="19"/>
    </row>
    <row r="31" spans="1:6" hidden="1" x14ac:dyDescent="0.2">
      <c r="A31" s="19"/>
      <c r="B31" s="19"/>
      <c r="C31" s="19"/>
      <c r="D31" s="19"/>
      <c r="E31" s="19"/>
    </row>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x14ac:dyDescent="0.2"/>
    <row r="44" x14ac:dyDescent="0.2"/>
    <row r="45" x14ac:dyDescent="0.2"/>
    <row r="46" x14ac:dyDescent="0.2"/>
    <row r="47" x14ac:dyDescent="0.2"/>
    <row r="48" x14ac:dyDescent="0.2"/>
    <row r="49" x14ac:dyDescent="0.2"/>
    <row r="50" x14ac:dyDescent="0.2"/>
    <row r="51" x14ac:dyDescent="0.2"/>
    <row r="52" x14ac:dyDescent="0.2"/>
  </sheetData>
  <sheetProtection sheet="1" formatCells="0" insertRows="0" deleteRows="0"/>
  <mergeCells count="10">
    <mergeCell ref="D17:E17"/>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6">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B11:B16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126"/>
  <sheetViews>
    <sheetView topLeftCell="A46" zoomScaleNormal="100" workbookViewId="0">
      <selection activeCell="E15" sqref="E15"/>
    </sheetView>
  </sheetViews>
  <sheetFormatPr defaultColWidth="0" defaultRowHeight="12.75" zeroHeight="1" x14ac:dyDescent="0.2"/>
  <cols>
    <col min="1" max="1" width="35.7109375" customWidth="1"/>
    <col min="2" max="2" width="46.85546875" customWidth="1"/>
    <col min="3" max="3" width="22.140625" customWidth="1"/>
    <col min="4" max="4" width="25.42578125" customWidth="1"/>
    <col min="5" max="6" width="35.7109375" customWidth="1"/>
    <col min="7" max="7" width="38" customWidth="1"/>
    <col min="8" max="10" width="9.140625" hidden="1" customWidth="1"/>
    <col min="11" max="15" width="0" hidden="1" customWidth="1"/>
  </cols>
  <sheetData>
    <row r="1" spans="1:6" ht="26.25" customHeight="1" x14ac:dyDescent="0.2">
      <c r="A1" s="121" t="s">
        <v>32</v>
      </c>
      <c r="B1" s="121"/>
      <c r="C1" s="121"/>
      <c r="D1" s="121"/>
      <c r="E1" s="121"/>
      <c r="F1" s="121"/>
    </row>
    <row r="2" spans="1:6" ht="21" customHeight="1" x14ac:dyDescent="0.2">
      <c r="A2" s="3" t="s">
        <v>2</v>
      </c>
      <c r="B2" s="125" t="str">
        <f>'Summary and sign-off'!B2:F2</f>
        <v>PHARMAC</v>
      </c>
      <c r="C2" s="125"/>
      <c r="D2" s="125"/>
      <c r="E2" s="125"/>
      <c r="F2" s="125"/>
    </row>
    <row r="3" spans="1:6" ht="21" customHeight="1" x14ac:dyDescent="0.2">
      <c r="A3" s="3" t="s">
        <v>3</v>
      </c>
      <c r="B3" s="125" t="str">
        <f>'Summary and sign-off'!B3:F3</f>
        <v>Sarah Fitt</v>
      </c>
      <c r="C3" s="125"/>
      <c r="D3" s="125"/>
      <c r="E3" s="125"/>
      <c r="F3" s="125"/>
    </row>
    <row r="4" spans="1:6" ht="21" customHeight="1" x14ac:dyDescent="0.2">
      <c r="A4" s="3" t="s">
        <v>77</v>
      </c>
      <c r="B4" s="125">
        <f>'Summary and sign-off'!B4:F4</f>
        <v>43282</v>
      </c>
      <c r="C4" s="125"/>
      <c r="D4" s="125"/>
      <c r="E4" s="125"/>
      <c r="F4" s="125"/>
    </row>
    <row r="5" spans="1:6" ht="21" customHeight="1" x14ac:dyDescent="0.2">
      <c r="A5" s="3" t="s">
        <v>78</v>
      </c>
      <c r="B5" s="125">
        <f>'Summary and sign-off'!B5:F5</f>
        <v>43646</v>
      </c>
      <c r="C5" s="125"/>
      <c r="D5" s="125"/>
      <c r="E5" s="125"/>
      <c r="F5" s="125"/>
    </row>
    <row r="6" spans="1:6" ht="21" customHeight="1" x14ac:dyDescent="0.2">
      <c r="A6" s="3" t="s">
        <v>167</v>
      </c>
      <c r="B6" s="119" t="s">
        <v>64</v>
      </c>
      <c r="C6" s="119"/>
      <c r="D6" s="119"/>
      <c r="E6" s="119"/>
      <c r="F6" s="119"/>
    </row>
    <row r="7" spans="1:6" ht="21" customHeight="1" x14ac:dyDescent="0.2">
      <c r="A7" s="3" t="s">
        <v>104</v>
      </c>
      <c r="B7" s="119" t="s">
        <v>116</v>
      </c>
      <c r="C7" s="119"/>
      <c r="D7" s="119"/>
      <c r="E7" s="119"/>
      <c r="F7" s="119"/>
    </row>
    <row r="8" spans="1:6" ht="36" customHeight="1" x14ac:dyDescent="0.2">
      <c r="A8" s="128" t="s">
        <v>52</v>
      </c>
      <c r="B8" s="128"/>
      <c r="C8" s="128"/>
      <c r="D8" s="128"/>
      <c r="E8" s="128"/>
      <c r="F8" s="128"/>
    </row>
    <row r="9" spans="1:6" ht="36" customHeight="1" x14ac:dyDescent="0.2">
      <c r="A9" s="137" t="s">
        <v>134</v>
      </c>
      <c r="B9" s="138"/>
      <c r="C9" s="138"/>
      <c r="D9" s="138"/>
      <c r="E9" s="138"/>
      <c r="F9" s="138"/>
    </row>
    <row r="10" spans="1:6" ht="39" customHeight="1" x14ac:dyDescent="0.2">
      <c r="A10" s="15" t="s">
        <v>49</v>
      </c>
      <c r="B10" s="7" t="s">
        <v>163</v>
      </c>
      <c r="C10" s="7" t="s">
        <v>82</v>
      </c>
      <c r="D10" s="7" t="s">
        <v>33</v>
      </c>
      <c r="E10" s="7" t="s">
        <v>83</v>
      </c>
      <c r="F10" s="7" t="s">
        <v>126</v>
      </c>
    </row>
    <row r="11" spans="1:6" s="2" customFormat="1" hidden="1" x14ac:dyDescent="0.2">
      <c r="A11" s="78"/>
      <c r="B11" s="80"/>
      <c r="C11" s="86"/>
      <c r="D11" s="80"/>
      <c r="E11" s="82"/>
      <c r="F11" s="81"/>
    </row>
    <row r="12" spans="1:6" s="2" customFormat="1" ht="25.5" x14ac:dyDescent="0.2">
      <c r="A12" s="78" t="s">
        <v>275</v>
      </c>
      <c r="B12" s="80" t="s">
        <v>277</v>
      </c>
      <c r="C12" s="86" t="s">
        <v>34</v>
      </c>
      <c r="D12" s="80" t="s">
        <v>276</v>
      </c>
      <c r="E12" s="82">
        <v>50</v>
      </c>
      <c r="F12" s="81"/>
    </row>
    <row r="13" spans="1:6" s="2" customFormat="1" ht="25.5" x14ac:dyDescent="0.2">
      <c r="A13" s="78" t="s">
        <v>278</v>
      </c>
      <c r="B13" s="80" t="s">
        <v>279</v>
      </c>
      <c r="C13" s="86" t="s">
        <v>34</v>
      </c>
      <c r="D13" s="80" t="s">
        <v>280</v>
      </c>
      <c r="E13" s="82" t="s">
        <v>41</v>
      </c>
      <c r="F13" s="81" t="s">
        <v>281</v>
      </c>
    </row>
    <row r="14" spans="1:6" s="2" customFormat="1" ht="25.5" x14ac:dyDescent="0.2">
      <c r="A14" s="78" t="s">
        <v>282</v>
      </c>
      <c r="B14" s="80" t="s">
        <v>283</v>
      </c>
      <c r="C14" s="86" t="s">
        <v>34</v>
      </c>
      <c r="D14" s="80" t="s">
        <v>284</v>
      </c>
      <c r="E14" s="82">
        <v>225</v>
      </c>
      <c r="F14" s="81"/>
    </row>
    <row r="15" spans="1:6" s="2" customFormat="1" x14ac:dyDescent="0.2">
      <c r="A15" s="78" t="s">
        <v>272</v>
      </c>
      <c r="B15" s="83" t="s">
        <v>273</v>
      </c>
      <c r="C15" s="86" t="s">
        <v>34</v>
      </c>
      <c r="D15" s="83" t="s">
        <v>274</v>
      </c>
      <c r="E15" s="82">
        <v>50</v>
      </c>
      <c r="F15" s="84"/>
    </row>
    <row r="16" spans="1:6" s="2" customFormat="1" x14ac:dyDescent="0.2">
      <c r="A16" s="78" t="s">
        <v>285</v>
      </c>
      <c r="B16" s="83" t="s">
        <v>286</v>
      </c>
      <c r="C16" s="86" t="s">
        <v>34</v>
      </c>
      <c r="D16" s="83" t="s">
        <v>287</v>
      </c>
      <c r="E16" s="82" t="s">
        <v>41</v>
      </c>
      <c r="F16" s="84"/>
    </row>
    <row r="17" spans="1:6" s="2" customFormat="1" ht="38.25" x14ac:dyDescent="0.2">
      <c r="A17" s="78" t="s">
        <v>255</v>
      </c>
      <c r="B17" s="83" t="s">
        <v>256</v>
      </c>
      <c r="C17" s="86" t="s">
        <v>34</v>
      </c>
      <c r="D17" s="83" t="s">
        <v>257</v>
      </c>
      <c r="E17" s="82">
        <v>595</v>
      </c>
      <c r="F17" s="84"/>
    </row>
    <row r="18" spans="1:6" s="2" customFormat="1" x14ac:dyDescent="0.2">
      <c r="A18" s="78" t="s">
        <v>249</v>
      </c>
      <c r="B18" s="83" t="s">
        <v>250</v>
      </c>
      <c r="C18" s="86" t="s">
        <v>34</v>
      </c>
      <c r="D18" s="83" t="s">
        <v>251</v>
      </c>
      <c r="E18" s="82">
        <v>50</v>
      </c>
      <c r="F18" s="84"/>
    </row>
    <row r="19" spans="1:6" s="2" customFormat="1" x14ac:dyDescent="0.2">
      <c r="A19" s="78" t="s">
        <v>264</v>
      </c>
      <c r="B19" s="83" t="s">
        <v>265</v>
      </c>
      <c r="C19" s="86" t="s">
        <v>36</v>
      </c>
      <c r="D19" s="83" t="s">
        <v>266</v>
      </c>
      <c r="E19" s="82">
        <v>50</v>
      </c>
      <c r="F19" s="84"/>
    </row>
    <row r="20" spans="1:6" s="2" customFormat="1" ht="25.5" x14ac:dyDescent="0.2">
      <c r="A20" s="78" t="s">
        <v>232</v>
      </c>
      <c r="B20" s="83" t="s">
        <v>233</v>
      </c>
      <c r="C20" s="86" t="s">
        <v>36</v>
      </c>
      <c r="D20" s="83" t="s">
        <v>234</v>
      </c>
      <c r="E20" s="82" t="s">
        <v>39</v>
      </c>
      <c r="F20" s="84" t="s">
        <v>235</v>
      </c>
    </row>
    <row r="21" spans="1:6" s="2" customFormat="1" ht="25.5" x14ac:dyDescent="0.2">
      <c r="A21" s="78" t="s">
        <v>205</v>
      </c>
      <c r="B21" s="83" t="s">
        <v>271</v>
      </c>
      <c r="C21" s="86" t="s">
        <v>36</v>
      </c>
      <c r="D21" s="83" t="s">
        <v>270</v>
      </c>
      <c r="E21" s="82">
        <v>50</v>
      </c>
      <c r="F21" s="84"/>
    </row>
    <row r="22" spans="1:6" s="2" customFormat="1" ht="25.5" x14ac:dyDescent="0.2">
      <c r="A22" s="78" t="s">
        <v>252</v>
      </c>
      <c r="B22" s="83" t="s">
        <v>253</v>
      </c>
      <c r="C22" s="86" t="s">
        <v>34</v>
      </c>
      <c r="D22" s="83" t="s">
        <v>254</v>
      </c>
      <c r="E22" s="82">
        <v>300</v>
      </c>
      <c r="F22" s="84"/>
    </row>
    <row r="23" spans="1:6" s="2" customFormat="1" x14ac:dyDescent="0.2">
      <c r="A23" s="78" t="s">
        <v>267</v>
      </c>
      <c r="B23" s="83" t="s">
        <v>268</v>
      </c>
      <c r="C23" s="86" t="s">
        <v>36</v>
      </c>
      <c r="D23" s="83" t="s">
        <v>269</v>
      </c>
      <c r="E23" s="82">
        <v>30</v>
      </c>
      <c r="F23" s="84" t="s">
        <v>235</v>
      </c>
    </row>
    <row r="24" spans="1:6" s="2" customFormat="1" x14ac:dyDescent="0.2">
      <c r="A24" s="78" t="s">
        <v>404</v>
      </c>
      <c r="B24" s="83" t="s">
        <v>405</v>
      </c>
      <c r="C24" s="86" t="s">
        <v>34</v>
      </c>
      <c r="D24" s="83" t="s">
        <v>406</v>
      </c>
      <c r="E24" s="82" t="s">
        <v>41</v>
      </c>
      <c r="F24" s="84" t="s">
        <v>403</v>
      </c>
    </row>
    <row r="25" spans="1:6" s="2" customFormat="1" ht="51" x14ac:dyDescent="0.2">
      <c r="A25" s="78" t="s">
        <v>226</v>
      </c>
      <c r="B25" s="83" t="s">
        <v>227</v>
      </c>
      <c r="C25" s="86" t="s">
        <v>34</v>
      </c>
      <c r="D25" s="83" t="s">
        <v>228</v>
      </c>
      <c r="E25" s="82" t="s">
        <v>39</v>
      </c>
      <c r="F25" s="84"/>
    </row>
    <row r="26" spans="1:6" s="2" customFormat="1" x14ac:dyDescent="0.2">
      <c r="A26" s="78" t="s">
        <v>297</v>
      </c>
      <c r="B26" s="83" t="s">
        <v>298</v>
      </c>
      <c r="C26" s="86" t="s">
        <v>34</v>
      </c>
      <c r="D26" s="83" t="s">
        <v>299</v>
      </c>
      <c r="E26" s="82">
        <v>50</v>
      </c>
      <c r="F26" s="84"/>
    </row>
    <row r="27" spans="1:6" s="2" customFormat="1" ht="38.25" x14ac:dyDescent="0.2">
      <c r="A27" s="78" t="s">
        <v>229</v>
      </c>
      <c r="B27" s="83" t="s">
        <v>231</v>
      </c>
      <c r="C27" s="86" t="s">
        <v>34</v>
      </c>
      <c r="D27" s="83" t="s">
        <v>230</v>
      </c>
      <c r="E27" s="82" t="s">
        <v>39</v>
      </c>
      <c r="F27" s="84"/>
    </row>
    <row r="28" spans="1:6" s="2" customFormat="1" ht="51" x14ac:dyDescent="0.2">
      <c r="A28" s="78" t="s">
        <v>261</v>
      </c>
      <c r="B28" s="83" t="s">
        <v>262</v>
      </c>
      <c r="C28" s="86" t="s">
        <v>34</v>
      </c>
      <c r="D28" s="83" t="s">
        <v>263</v>
      </c>
      <c r="E28" s="82" t="s">
        <v>43</v>
      </c>
      <c r="F28" s="84"/>
    </row>
    <row r="29" spans="1:6" s="2" customFormat="1" ht="25.5" x14ac:dyDescent="0.2">
      <c r="A29" s="78" t="s">
        <v>304</v>
      </c>
      <c r="B29" s="83" t="s">
        <v>305</v>
      </c>
      <c r="C29" s="86" t="s">
        <v>34</v>
      </c>
      <c r="D29" s="83" t="s">
        <v>306</v>
      </c>
      <c r="E29" s="82">
        <v>350</v>
      </c>
      <c r="F29" s="84"/>
    </row>
    <row r="30" spans="1:6" s="2" customFormat="1" ht="38.25" x14ac:dyDescent="0.2">
      <c r="A30" s="78" t="s">
        <v>223</v>
      </c>
      <c r="B30" s="83" t="s">
        <v>224</v>
      </c>
      <c r="C30" s="86" t="s">
        <v>34</v>
      </c>
      <c r="D30" s="83" t="s">
        <v>225</v>
      </c>
      <c r="E30" s="82" t="s">
        <v>42</v>
      </c>
      <c r="F30" s="84" t="s">
        <v>395</v>
      </c>
    </row>
    <row r="31" spans="1:6" s="2" customFormat="1" x14ac:dyDescent="0.2">
      <c r="A31" s="78" t="s">
        <v>258</v>
      </c>
      <c r="B31" s="83" t="s">
        <v>260</v>
      </c>
      <c r="C31" s="86" t="s">
        <v>34</v>
      </c>
      <c r="D31" s="83" t="s">
        <v>259</v>
      </c>
      <c r="E31" s="82">
        <v>50</v>
      </c>
      <c r="F31" s="84"/>
    </row>
    <row r="32" spans="1:6" s="2" customFormat="1" ht="38.25" x14ac:dyDescent="0.2">
      <c r="A32" s="78" t="s">
        <v>242</v>
      </c>
      <c r="B32" s="83" t="s">
        <v>245</v>
      </c>
      <c r="C32" s="86" t="s">
        <v>36</v>
      </c>
      <c r="D32" s="83" t="s">
        <v>243</v>
      </c>
      <c r="E32" s="82" t="s">
        <v>41</v>
      </c>
      <c r="F32" s="84" t="s">
        <v>244</v>
      </c>
    </row>
    <row r="33" spans="1:6" s="2" customFormat="1" ht="25.5" x14ac:dyDescent="0.2">
      <c r="A33" s="78" t="s">
        <v>180</v>
      </c>
      <c r="B33" s="83" t="s">
        <v>300</v>
      </c>
      <c r="C33" s="86" t="s">
        <v>34</v>
      </c>
      <c r="D33" s="83" t="s">
        <v>301</v>
      </c>
      <c r="E33" s="82" t="s">
        <v>41</v>
      </c>
      <c r="F33" s="84" t="s">
        <v>403</v>
      </c>
    </row>
    <row r="34" spans="1:6" s="2" customFormat="1" ht="25.5" x14ac:dyDescent="0.2">
      <c r="A34" s="78" t="s">
        <v>294</v>
      </c>
      <c r="B34" s="83" t="s">
        <v>295</v>
      </c>
      <c r="C34" s="86" t="s">
        <v>34</v>
      </c>
      <c r="D34" s="83" t="s">
        <v>296</v>
      </c>
      <c r="E34" s="82">
        <v>50</v>
      </c>
      <c r="F34" s="84"/>
    </row>
    <row r="35" spans="1:6" s="2" customFormat="1" ht="51" x14ac:dyDescent="0.2">
      <c r="A35" s="78" t="s">
        <v>239</v>
      </c>
      <c r="B35" s="83" t="s">
        <v>240</v>
      </c>
      <c r="C35" s="86" t="s">
        <v>34</v>
      </c>
      <c r="D35" s="83" t="s">
        <v>241</v>
      </c>
      <c r="E35" s="82">
        <v>50</v>
      </c>
      <c r="F35" s="84"/>
    </row>
    <row r="36" spans="1:6" s="2" customFormat="1" ht="38.25" x14ac:dyDescent="0.2">
      <c r="A36" s="78" t="s">
        <v>246</v>
      </c>
      <c r="B36" s="83" t="s">
        <v>247</v>
      </c>
      <c r="C36" s="86" t="s">
        <v>34</v>
      </c>
      <c r="D36" s="83" t="s">
        <v>248</v>
      </c>
      <c r="E36" s="82">
        <v>50</v>
      </c>
      <c r="F36" s="84"/>
    </row>
    <row r="37" spans="1:6" s="2" customFormat="1" ht="25.5" x14ac:dyDescent="0.2">
      <c r="A37" s="78" t="s">
        <v>288</v>
      </c>
      <c r="B37" s="83" t="s">
        <v>289</v>
      </c>
      <c r="C37" s="86" t="s">
        <v>34</v>
      </c>
      <c r="D37" s="83" t="s">
        <v>290</v>
      </c>
      <c r="E37" s="82">
        <v>50</v>
      </c>
      <c r="F37" s="84"/>
    </row>
    <row r="38" spans="1:6" s="2" customFormat="1" x14ac:dyDescent="0.2">
      <c r="A38" s="78" t="s">
        <v>291</v>
      </c>
      <c r="B38" s="83" t="s">
        <v>292</v>
      </c>
      <c r="C38" s="86" t="s">
        <v>34</v>
      </c>
      <c r="D38" s="83" t="s">
        <v>293</v>
      </c>
      <c r="E38" s="82">
        <v>50</v>
      </c>
      <c r="F38" s="84"/>
    </row>
    <row r="39" spans="1:6" s="2" customFormat="1" x14ac:dyDescent="0.2">
      <c r="A39" s="78" t="s">
        <v>291</v>
      </c>
      <c r="B39" s="83" t="s">
        <v>302</v>
      </c>
      <c r="C39" s="86" t="s">
        <v>34</v>
      </c>
      <c r="D39" s="83" t="s">
        <v>303</v>
      </c>
      <c r="E39" s="82" t="s">
        <v>41</v>
      </c>
      <c r="F39" s="84" t="s">
        <v>403</v>
      </c>
    </row>
    <row r="40" spans="1:6" s="2" customFormat="1" ht="38.25" x14ac:dyDescent="0.2">
      <c r="A40" s="78" t="s">
        <v>236</v>
      </c>
      <c r="B40" s="83" t="s">
        <v>237</v>
      </c>
      <c r="C40" s="86" t="s">
        <v>34</v>
      </c>
      <c r="D40" s="83" t="s">
        <v>238</v>
      </c>
      <c r="E40" s="82">
        <v>50</v>
      </c>
      <c r="F40" s="84"/>
    </row>
    <row r="41" spans="1:6" s="2" customFormat="1" ht="25.5" x14ac:dyDescent="0.2">
      <c r="A41" s="78" t="s">
        <v>354</v>
      </c>
      <c r="B41" s="83" t="s">
        <v>355</v>
      </c>
      <c r="C41" s="86" t="s">
        <v>34</v>
      </c>
      <c r="D41" s="83" t="s">
        <v>356</v>
      </c>
      <c r="E41" s="82" t="s">
        <v>43</v>
      </c>
      <c r="F41" s="84" t="s">
        <v>357</v>
      </c>
    </row>
    <row r="42" spans="1:6" s="2" customFormat="1" x14ac:dyDescent="0.2">
      <c r="A42" s="78" t="s">
        <v>400</v>
      </c>
      <c r="B42" s="83" t="s">
        <v>401</v>
      </c>
      <c r="C42" s="86" t="s">
        <v>36</v>
      </c>
      <c r="D42" s="83" t="s">
        <v>402</v>
      </c>
      <c r="E42" s="82" t="s">
        <v>43</v>
      </c>
      <c r="F42" s="84"/>
    </row>
    <row r="43" spans="1:6" s="2" customFormat="1" ht="25.5" x14ac:dyDescent="0.2">
      <c r="A43" s="78" t="s">
        <v>358</v>
      </c>
      <c r="B43" s="83" t="s">
        <v>359</v>
      </c>
      <c r="C43" s="86" t="s">
        <v>34</v>
      </c>
      <c r="D43" s="83" t="s">
        <v>360</v>
      </c>
      <c r="E43" s="82" t="s">
        <v>42</v>
      </c>
      <c r="F43" s="84"/>
    </row>
    <row r="44" spans="1:6" s="2" customFormat="1" ht="25.5" x14ac:dyDescent="0.2">
      <c r="A44" s="78" t="s">
        <v>393</v>
      </c>
      <c r="B44" s="83" t="s">
        <v>394</v>
      </c>
      <c r="C44" s="86" t="s">
        <v>36</v>
      </c>
      <c r="D44" s="83" t="s">
        <v>398</v>
      </c>
      <c r="E44" s="82">
        <v>394.22</v>
      </c>
      <c r="F44" s="117" t="s">
        <v>396</v>
      </c>
    </row>
    <row r="45" spans="1:6" s="2" customFormat="1" ht="25.5" x14ac:dyDescent="0.2">
      <c r="A45" s="78" t="s">
        <v>393</v>
      </c>
      <c r="B45" s="83" t="s">
        <v>394</v>
      </c>
      <c r="C45" s="86" t="s">
        <v>36</v>
      </c>
      <c r="D45" s="83" t="s">
        <v>398</v>
      </c>
      <c r="E45" s="82">
        <v>3492.55</v>
      </c>
      <c r="F45" s="117" t="s">
        <v>397</v>
      </c>
    </row>
    <row r="46" spans="1:6" s="2" customFormat="1" ht="25.5" x14ac:dyDescent="0.2">
      <c r="A46" s="78" t="s">
        <v>361</v>
      </c>
      <c r="B46" s="83" t="s">
        <v>362</v>
      </c>
      <c r="C46" s="86" t="s">
        <v>34</v>
      </c>
      <c r="D46" s="83" t="s">
        <v>363</v>
      </c>
      <c r="E46" s="82" t="s">
        <v>43</v>
      </c>
      <c r="F46" s="84" t="s">
        <v>395</v>
      </c>
    </row>
    <row r="47" spans="1:6" s="2" customFormat="1" ht="38.25" x14ac:dyDescent="0.2">
      <c r="A47" s="78" t="s">
        <v>364</v>
      </c>
      <c r="B47" s="83" t="s">
        <v>365</v>
      </c>
      <c r="C47" s="86" t="s">
        <v>34</v>
      </c>
      <c r="D47" s="83" t="s">
        <v>366</v>
      </c>
      <c r="E47" s="82">
        <v>50</v>
      </c>
      <c r="F47" s="84"/>
    </row>
    <row r="48" spans="1:6" s="2" customFormat="1" x14ac:dyDescent="0.2">
      <c r="A48" s="78" t="s">
        <v>367</v>
      </c>
      <c r="B48" s="83" t="s">
        <v>368</v>
      </c>
      <c r="C48" s="86" t="s">
        <v>34</v>
      </c>
      <c r="D48" s="83" t="s">
        <v>369</v>
      </c>
      <c r="E48" s="82">
        <v>50</v>
      </c>
      <c r="F48" s="117" t="s">
        <v>370</v>
      </c>
    </row>
    <row r="49" spans="1:7" s="2" customFormat="1" x14ac:dyDescent="0.2">
      <c r="A49" s="78" t="s">
        <v>367</v>
      </c>
      <c r="B49" s="83" t="s">
        <v>371</v>
      </c>
      <c r="C49" s="86" t="s">
        <v>34</v>
      </c>
      <c r="D49" s="83" t="s">
        <v>372</v>
      </c>
      <c r="E49" s="82">
        <v>50</v>
      </c>
      <c r="F49" s="84"/>
    </row>
    <row r="50" spans="1:7" s="2" customFormat="1" ht="25.5" x14ac:dyDescent="0.2">
      <c r="A50" s="78" t="s">
        <v>373</v>
      </c>
      <c r="B50" s="83" t="s">
        <v>374</v>
      </c>
      <c r="C50" s="86" t="s">
        <v>34</v>
      </c>
      <c r="D50" s="83" t="s">
        <v>375</v>
      </c>
      <c r="E50" s="82">
        <v>50</v>
      </c>
      <c r="F50" s="84"/>
    </row>
    <row r="51" spans="1:7" s="2" customFormat="1" ht="25.5" x14ac:dyDescent="0.2">
      <c r="A51" s="78" t="s">
        <v>376</v>
      </c>
      <c r="B51" s="83" t="s">
        <v>377</v>
      </c>
      <c r="C51" s="86" t="s">
        <v>34</v>
      </c>
      <c r="D51" s="83" t="s">
        <v>378</v>
      </c>
      <c r="E51" s="82">
        <v>50</v>
      </c>
      <c r="F51" s="84"/>
    </row>
    <row r="52" spans="1:7" s="2" customFormat="1" ht="25.5" x14ac:dyDescent="0.2">
      <c r="A52" s="78" t="s">
        <v>379</v>
      </c>
      <c r="B52" s="83" t="s">
        <v>380</v>
      </c>
      <c r="C52" s="86" t="s">
        <v>36</v>
      </c>
      <c r="D52" s="83" t="s">
        <v>381</v>
      </c>
      <c r="E52" s="82" t="s">
        <v>41</v>
      </c>
      <c r="F52" s="117" t="s">
        <v>382</v>
      </c>
    </row>
    <row r="53" spans="1:7" s="2" customFormat="1" ht="25.5" x14ac:dyDescent="0.2">
      <c r="A53" s="78" t="s">
        <v>383</v>
      </c>
      <c r="B53" s="83" t="s">
        <v>384</v>
      </c>
      <c r="C53" s="86" t="s">
        <v>34</v>
      </c>
      <c r="D53" s="83" t="s">
        <v>385</v>
      </c>
      <c r="E53" s="82">
        <v>50</v>
      </c>
      <c r="F53" s="117"/>
    </row>
    <row r="54" spans="1:7" s="2" customFormat="1" ht="25.5" x14ac:dyDescent="0.2">
      <c r="A54" s="78" t="s">
        <v>383</v>
      </c>
      <c r="B54" s="83" t="s">
        <v>386</v>
      </c>
      <c r="C54" s="86" t="s">
        <v>34</v>
      </c>
      <c r="D54" s="83" t="s">
        <v>387</v>
      </c>
      <c r="E54" s="82">
        <v>50</v>
      </c>
      <c r="F54" s="117"/>
    </row>
    <row r="55" spans="1:7" s="2" customFormat="1" hidden="1" x14ac:dyDescent="0.2">
      <c r="A55" s="78"/>
      <c r="B55" s="80"/>
      <c r="C55" s="86"/>
      <c r="D55" s="80"/>
      <c r="E55" s="82"/>
      <c r="F55" s="81"/>
    </row>
    <row r="56" spans="1:7" ht="34.5" customHeight="1" x14ac:dyDescent="0.2">
      <c r="A56" s="57" t="s">
        <v>164</v>
      </c>
      <c r="B56" s="58" t="s">
        <v>35</v>
      </c>
      <c r="C56" s="59">
        <f>C57+C58</f>
        <v>43</v>
      </c>
      <c r="D56" s="91" t="str">
        <f>IF(SUBTOTAL(3,C11:C55)=SUBTOTAL(103,C11:C55),'Summary and sign-off'!$A$47,'Summary and sign-off'!$A$48)</f>
        <v>Check - there are no hidden rows with data</v>
      </c>
      <c r="E56" s="139" t="str">
        <f>IF('Summary and sign-off'!F59='Summary and sign-off'!F53,'Summary and sign-off'!A51,'Summary and sign-off'!A49)</f>
        <v>Check - each entry provides sufficient information</v>
      </c>
      <c r="F56" s="139"/>
      <c r="G56" s="2"/>
    </row>
    <row r="57" spans="1:7" ht="25.5" customHeight="1" x14ac:dyDescent="0.25">
      <c r="A57" s="60"/>
      <c r="B57" s="61" t="s">
        <v>36</v>
      </c>
      <c r="C57" s="62">
        <f>COUNTIF(C11:C55,'Summary and sign-off'!A44)</f>
        <v>9</v>
      </c>
      <c r="D57" s="16"/>
      <c r="E57" s="17"/>
      <c r="F57" s="18"/>
    </row>
    <row r="58" spans="1:7" ht="25.5" customHeight="1" x14ac:dyDescent="0.25">
      <c r="A58" s="60"/>
      <c r="B58" s="61" t="s">
        <v>34</v>
      </c>
      <c r="C58" s="62">
        <f>COUNTIF(C11:C55,'Summary and sign-off'!A45)</f>
        <v>34</v>
      </c>
      <c r="D58" s="16"/>
      <c r="E58" s="17"/>
      <c r="F58" s="18"/>
    </row>
    <row r="59" spans="1:7" x14ac:dyDescent="0.2">
      <c r="A59" s="19"/>
      <c r="B59" s="20"/>
      <c r="C59" s="19"/>
      <c r="D59" s="21"/>
      <c r="E59" s="21"/>
      <c r="F59" s="19"/>
    </row>
    <row r="60" spans="1:7" x14ac:dyDescent="0.2">
      <c r="A60" s="20" t="s">
        <v>7</v>
      </c>
      <c r="B60" s="20"/>
      <c r="C60" s="20"/>
      <c r="D60" s="20"/>
      <c r="E60" s="20"/>
      <c r="F60" s="20"/>
    </row>
    <row r="61" spans="1:7" ht="12.6" customHeight="1" x14ac:dyDescent="0.2">
      <c r="A61" s="22" t="s">
        <v>50</v>
      </c>
      <c r="B61" s="19"/>
      <c r="C61" s="19"/>
      <c r="D61" s="19"/>
      <c r="E61" s="19"/>
    </row>
    <row r="62" spans="1:7" x14ac:dyDescent="0.2">
      <c r="A62" s="22" t="s">
        <v>157</v>
      </c>
      <c r="B62" s="21"/>
      <c r="C62" s="19"/>
      <c r="D62" s="19"/>
      <c r="E62" s="19"/>
      <c r="F62" s="19"/>
    </row>
    <row r="63" spans="1:7" x14ac:dyDescent="0.2">
      <c r="A63" s="22" t="s">
        <v>15</v>
      </c>
      <c r="B63" s="23"/>
      <c r="C63" s="23"/>
      <c r="D63" s="23"/>
      <c r="E63" s="23"/>
      <c r="F63" s="23"/>
    </row>
    <row r="64" spans="1:7" ht="12.75" customHeight="1" x14ac:dyDescent="0.2">
      <c r="A64" s="22" t="s">
        <v>93</v>
      </c>
      <c r="B64" s="19"/>
      <c r="C64" s="19"/>
      <c r="D64" s="19"/>
      <c r="E64" s="19"/>
      <c r="F64" s="19"/>
    </row>
    <row r="65" spans="1:6" ht="12.95" customHeight="1" x14ac:dyDescent="0.2">
      <c r="A65" s="22" t="s">
        <v>37</v>
      </c>
      <c r="B65" s="19"/>
      <c r="C65" s="19"/>
      <c r="D65" s="19"/>
      <c r="E65" s="19"/>
      <c r="F65" s="19"/>
    </row>
    <row r="66" spans="1:6" x14ac:dyDescent="0.2">
      <c r="A66" s="22" t="s">
        <v>53</v>
      </c>
      <c r="C66" s="19"/>
      <c r="D66" s="19"/>
      <c r="E66" s="19"/>
      <c r="F66" s="19"/>
    </row>
    <row r="67" spans="1:6" ht="12.75" customHeight="1" x14ac:dyDescent="0.2">
      <c r="A67" s="22" t="s">
        <v>166</v>
      </c>
      <c r="B67" s="22"/>
      <c r="C67" s="24"/>
      <c r="D67" s="24"/>
      <c r="E67" s="24"/>
      <c r="F67" s="24"/>
    </row>
    <row r="68" spans="1:6" ht="12.75" customHeight="1" x14ac:dyDescent="0.2">
      <c r="A68" s="22"/>
      <c r="B68" s="22"/>
      <c r="C68" s="24"/>
      <c r="D68" s="24"/>
      <c r="E68" s="24"/>
      <c r="F68" s="24"/>
    </row>
    <row r="69" spans="1:6" ht="12.75" hidden="1" customHeight="1" x14ac:dyDescent="0.2">
      <c r="A69" s="22"/>
      <c r="B69" s="22"/>
      <c r="C69" s="24"/>
      <c r="D69" s="24"/>
      <c r="E69" s="24"/>
      <c r="F69" s="24"/>
    </row>
    <row r="70" spans="1:6" hidden="1" x14ac:dyDescent="0.2"/>
    <row r="71" spans="1:6" hidden="1" x14ac:dyDescent="0.2"/>
    <row r="72" spans="1:6" hidden="1" x14ac:dyDescent="0.2">
      <c r="A72" s="20"/>
      <c r="B72" s="20"/>
      <c r="C72" s="20"/>
      <c r="D72" s="20"/>
      <c r="E72" s="20"/>
      <c r="F72" s="20"/>
    </row>
    <row r="73" spans="1:6" hidden="1" x14ac:dyDescent="0.2">
      <c r="A73" s="20"/>
      <c r="B73" s="20"/>
      <c r="C73" s="20"/>
      <c r="D73" s="20"/>
      <c r="E73" s="20"/>
      <c r="F73" s="20"/>
    </row>
    <row r="74" spans="1:6" hidden="1" x14ac:dyDescent="0.2">
      <c r="A74" s="20"/>
      <c r="B74" s="20"/>
      <c r="C74" s="20"/>
      <c r="D74" s="20"/>
      <c r="E74" s="20"/>
      <c r="F74" s="20"/>
    </row>
    <row r="75" spans="1:6" hidden="1" x14ac:dyDescent="0.2">
      <c r="A75" s="20"/>
      <c r="B75" s="20"/>
      <c r="C75" s="20"/>
      <c r="D75" s="20"/>
      <c r="E75" s="20"/>
      <c r="F75" s="20"/>
    </row>
    <row r="76" spans="1:6" hidden="1" x14ac:dyDescent="0.2">
      <c r="A76" s="20"/>
      <c r="B76" s="20"/>
      <c r="C76" s="20"/>
      <c r="D76" s="20"/>
      <c r="E76" s="20"/>
      <c r="F76" s="20"/>
    </row>
    <row r="77" spans="1:6" hidden="1" x14ac:dyDescent="0.2"/>
    <row r="78" spans="1:6" hidden="1" x14ac:dyDescent="0.2"/>
    <row r="79" spans="1:6" hidden="1" x14ac:dyDescent="0.2"/>
    <row r="80" spans="1:6"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sheetData>
  <sheetProtection sheet="1" formatCells="0" insertRows="0" deleteRows="0"/>
  <mergeCells count="10">
    <mergeCell ref="E56:F56"/>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55">
      <formula1>$B$4</formula1>
      <formula2>$B$5</formula2>
    </dataValidation>
  </dataValidations>
  <printOptions gridLines="1"/>
  <pageMargins left="0.70866141732283472" right="0.70866141732283472" top="0.74803149606299213" bottom="0.41" header="0.31496062992125984" footer="0.19"/>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sign-off'!$A$44:$A$45</xm:f>
          </x14:formula1>
          <xm:sqref>C11:C55</xm:sqref>
        </x14:dataValidation>
        <x14:dataValidation type="list" errorStyle="information" operator="greaterThan" allowBlank="1" showInputMessage="1" prompt="Provide specific $ value if possible">
          <x14:formula1>
            <xm:f>'Summary and sign-off'!$A$38:$A$43</xm:f>
          </x14:formula1>
          <xm:sqref>E11:E55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etadata xmlns="http://www.objective.com/ecm/document/metadata/17DD214497134AB99744102E6E9CD9B0" version="1.0.0">
  <systemFields>
    <field name="Objective-Id">
      <value order="0">A1288896</value>
    </field>
    <field name="Objective-Title">
      <value order="0">2019-07 CE Expenses 1 July 2018- 30 June 2019</value>
    </field>
    <field name="Objective-Description">
      <value order="0"/>
    </field>
    <field name="Objective-CreationStamp">
      <value order="0">2019-02-18T04:14:00Z</value>
    </field>
    <field name="Objective-IsApproved">
      <value order="0">false</value>
    </field>
    <field name="Objective-IsPublished">
      <value order="0">true</value>
    </field>
    <field name="Objective-DatePublished">
      <value order="0">2019-07-25T20:28:00Z</value>
    </field>
    <field name="Objective-ModificationStamp">
      <value order="0">2019-07-25T20:28:00Z</value>
    </field>
    <field name="Objective-Owner">
      <value order="0">Jane Wallace</value>
    </field>
    <field name="Objective-Path">
      <value order="0">Objective Global Folder:PHARMAC Fileplan:External relations:Stakeholder Relationships:Government organisations - 1. NZ:State Services Commission:Disclosure of gifts, expenses and hospitality spreadsheets:2015-2019 CE Expenses</value>
    </field>
    <field name="Objective-Parent">
      <value order="0">2015-2019 CE Expenses</value>
    </field>
    <field name="Objective-State">
      <value order="0">Published</value>
    </field>
    <field name="Objective-VersionId">
      <value order="0">vA2224569</value>
    </field>
    <field name="Objective-Version">
      <value order="0">1.0</value>
    </field>
    <field name="Objective-VersionNumber">
      <value order="0">9</value>
    </field>
    <field name="Objective-VersionComment">
      <value order="0"/>
    </field>
    <field name="Objective-FileNumber">
      <value order="0">qA10620</value>
    </field>
    <field name="Objective-Classification">
      <value order="0"/>
    </field>
    <field name="Objective-Caveats">
      <value order="0"/>
    </field>
  </systemFields>
  <catalogues>
    <catalogue name="Reference Type Catalogue" type="type" ori="id:cA63">
      <field name="Objective-Application / Proposal Number">
        <value order="0">#2019-18626</value>
      </field>
      <field name="Objective-DOCSOpen Document Number">
        <value order="0"/>
      </field>
      <field name="Objective-DOCSOpen Document Author">
        <value order="0"/>
      </field>
      <field name="Objective-DOCSOpen Document Type">
        <value order="0"/>
      </field>
      <field name="Objective-DOCSOpen Security">
        <value order="0"/>
      </field>
      <field name="Objective-DOCSOpen System ID">
        <value order="0"/>
      </field>
      <field name="Objective-Inherit Keyword">
        <value order="0"/>
      </field>
      <field name="Objective-Connect Creator">
        <value order="0"/>
      </field>
    </catalogue>
  </catalogues>
</metadata>
</file>

<file path=customXml/item2.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Props1.xml><?xml version="1.0" encoding="utf-8"?>
<ds:datastoreItem xmlns:ds="http://schemas.openxmlformats.org/officeDocument/2006/customXml" ds:itemID="{5745109E-2DDF-40CB-AC2B-FF9B10C90820}">
  <ds:schemaRefs>
    <ds:schemaRef ds:uri="http://www.objective.com/ecm/document/metadata/17DD214497134AB99744102E6E9CD9B0"/>
  </ds:schemaRefs>
</ds:datastoreItem>
</file>

<file path=customXml/itemProps2.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F579D7F4-D0D7-4BCB-BBEA-E7C37A64913E}">
  <ds:schemaRefs>
    <ds:schemaRef ds:uri="http://purl.org/dc/terms/"/>
    <ds:schemaRef ds:uri="12165527-d881-4234-97f9-ee139a3f0c31"/>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 expenses - 1 Jul 2018 to 30 Jun 2019</dc:title>
  <dc:creator>PHARMAC</dc:creator>
  <dc:description/>
  <cp:lastPrinted>2019-07-25T04:06:42Z</cp:lastPrinted>
  <dcterms:created xsi:type="dcterms:W3CDTF">2010-10-17T20:59:02Z</dcterms:created>
  <dcterms:modified xsi:type="dcterms:W3CDTF">2019-07-25T23:15:18Z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Objective-Id">
    <vt:lpwstr>A1288896</vt:lpwstr>
  </property>
  <property fmtid="{D5CDD505-2E9C-101B-9397-08002B2CF9AE}" pid="8" name="Objective-Title">
    <vt:lpwstr>2019-07 CE Expenses 1 July 2018- 30 June 2019</vt:lpwstr>
  </property>
  <property fmtid="{D5CDD505-2E9C-101B-9397-08002B2CF9AE}" pid="9" name="Objective-Comment">
    <vt:lpwstr/>
  </property>
  <property fmtid="{D5CDD505-2E9C-101B-9397-08002B2CF9AE}" pid="10" name="Objective-CreationStamp">
    <vt:filetime>2019-07-10T21:08:36Z</vt:filetime>
  </property>
  <property fmtid="{D5CDD505-2E9C-101B-9397-08002B2CF9AE}" pid="11" name="Objective-IsApproved">
    <vt:bool>false</vt:bool>
  </property>
  <property fmtid="{D5CDD505-2E9C-101B-9397-08002B2CF9AE}" pid="12" name="Objective-IsPublished">
    <vt:bool>true</vt:bool>
  </property>
  <property fmtid="{D5CDD505-2E9C-101B-9397-08002B2CF9AE}" pid="13" name="Objective-DatePublished">
    <vt:filetime>2019-07-25T20:28:00Z</vt:filetime>
  </property>
  <property fmtid="{D5CDD505-2E9C-101B-9397-08002B2CF9AE}" pid="14" name="Objective-ModificationStamp">
    <vt:filetime>2019-07-25T20:28:00Z</vt:filetime>
  </property>
  <property fmtid="{D5CDD505-2E9C-101B-9397-08002B2CF9AE}" pid="15" name="Objective-Owner">
    <vt:lpwstr>Jane Wallace</vt:lpwstr>
  </property>
  <property fmtid="{D5CDD505-2E9C-101B-9397-08002B2CF9AE}" pid="16" name="Objective-Path">
    <vt:lpwstr>Objective Global Folder:PHARMAC Fileplan:External relations:Stakeholder Relationships:Government organisations - 1. NZ:State Services Commission:Disclosure of gifts, expenses and hospitality spreadsheets:2015-2019 CE Expenses:</vt:lpwstr>
  </property>
  <property fmtid="{D5CDD505-2E9C-101B-9397-08002B2CF9AE}" pid="17" name="Objective-Parent">
    <vt:lpwstr>2015-2019 CE Expenses</vt:lpwstr>
  </property>
  <property fmtid="{D5CDD505-2E9C-101B-9397-08002B2CF9AE}" pid="18" name="Objective-State">
    <vt:lpwstr>Published</vt:lpwstr>
  </property>
  <property fmtid="{D5CDD505-2E9C-101B-9397-08002B2CF9AE}" pid="19" name="Objective-Version">
    <vt:lpwstr>1.0</vt:lpwstr>
  </property>
  <property fmtid="{D5CDD505-2E9C-101B-9397-08002B2CF9AE}" pid="20" name="Objective-VersionNumber">
    <vt:r8>9</vt:r8>
  </property>
  <property fmtid="{D5CDD505-2E9C-101B-9397-08002B2CF9AE}" pid="21" name="Objective-VersionComment">
    <vt:lpwstr/>
  </property>
  <property fmtid="{D5CDD505-2E9C-101B-9397-08002B2CF9AE}" pid="22" name="Objective-FileNumber">
    <vt:lpwstr>qA10620</vt:lpwstr>
  </property>
  <property fmtid="{D5CDD505-2E9C-101B-9397-08002B2CF9AE}" pid="23" name="Objective-Classification">
    <vt:lpwstr>[Inherited - none]</vt:lpwstr>
  </property>
  <property fmtid="{D5CDD505-2E9C-101B-9397-08002B2CF9AE}" pid="24" name="Objective-Caveats">
    <vt:lpwstr/>
  </property>
  <property fmtid="{D5CDD505-2E9C-101B-9397-08002B2CF9AE}" pid="25" name="Objective-DOCSOpen Document Author [system]">
    <vt:lpwstr/>
  </property>
  <property fmtid="{D5CDD505-2E9C-101B-9397-08002B2CF9AE}" pid="26" name="Objective-DOCSOpen Document Number [system]">
    <vt:lpwstr/>
  </property>
  <property fmtid="{D5CDD505-2E9C-101B-9397-08002B2CF9AE}" pid="27" name="Objective-DOCSOpen Document Type [system]">
    <vt:lpwstr/>
  </property>
  <property fmtid="{D5CDD505-2E9C-101B-9397-08002B2CF9AE}" pid="28" name="Objective-DOCSOpen Security [system]">
    <vt:lpwstr/>
  </property>
  <property fmtid="{D5CDD505-2E9C-101B-9397-08002B2CF9AE}" pid="29" name="Objective-DOCSOpen System ID [system]">
    <vt:lpwstr/>
  </property>
  <property fmtid="{D5CDD505-2E9C-101B-9397-08002B2CF9AE}" pid="30" name="Objective-Inherit Keyword [system]">
    <vt:lpwstr/>
  </property>
  <property fmtid="{D5CDD505-2E9C-101B-9397-08002B2CF9AE}" pid="31" name="Objective-Connect Creator [system]">
    <vt:lpwstr/>
  </property>
  <property fmtid="{D5CDD505-2E9C-101B-9397-08002B2CF9AE}" pid="32" name="Objective-Description">
    <vt:lpwstr/>
  </property>
  <property fmtid="{D5CDD505-2E9C-101B-9397-08002B2CF9AE}" pid="33" name="Objective-VersionId">
    <vt:lpwstr>vA2224569</vt:lpwstr>
  </property>
  <property fmtid="{D5CDD505-2E9C-101B-9397-08002B2CF9AE}" pid="34" name="Objective-Application / Proposal Number">
    <vt:lpwstr>#2019-18626</vt:lpwstr>
  </property>
  <property fmtid="{D5CDD505-2E9C-101B-9397-08002B2CF9AE}" pid="35" name="Objective-DOCSOpen Document Number">
    <vt:lpwstr/>
  </property>
  <property fmtid="{D5CDD505-2E9C-101B-9397-08002B2CF9AE}" pid="36" name="Objective-DOCSOpen Document Author">
    <vt:lpwstr/>
  </property>
  <property fmtid="{D5CDD505-2E9C-101B-9397-08002B2CF9AE}" pid="37" name="Objective-DOCSOpen Document Type">
    <vt:lpwstr/>
  </property>
  <property fmtid="{D5CDD505-2E9C-101B-9397-08002B2CF9AE}" pid="38" name="Objective-DOCSOpen Security">
    <vt:lpwstr/>
  </property>
  <property fmtid="{D5CDD505-2E9C-101B-9397-08002B2CF9AE}" pid="39" name="Objective-DOCSOpen System ID">
    <vt:lpwstr/>
  </property>
  <property fmtid="{D5CDD505-2E9C-101B-9397-08002B2CF9AE}" pid="40" name="Objective-Inherit Keyword">
    <vt:lpwstr/>
  </property>
  <property fmtid="{D5CDD505-2E9C-101B-9397-08002B2CF9AE}" pid="41" name="Objective-Connect Creator">
    <vt:lpwstr/>
  </property>
</Properties>
</file>